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0.xml" ContentType="application/vnd.openxmlformats-officedocument.drawingml.chartshapes+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0496" windowHeight="7776" tabRatio="906" firstSheet="12" activeTab="12"/>
  </bookViews>
  <sheets>
    <sheet name="Contents" sheetId="1" r:id="rId1"/>
    <sheet name="1.1. Ind. mod. thermal prod. " sheetId="86" r:id="rId2"/>
    <sheet name="1.2. Renewable and non-CIPU" sheetId="78" r:id="rId3"/>
    <sheet name="2.1. Tot. elec. demand" sheetId="92" r:id="rId4"/>
    <sheet name="3.1 Storage" sheetId="79" r:id="rId5"/>
    <sheet name="3.2. DSR industry" sheetId="85" r:id="rId6"/>
    <sheet name="3.3. DSR end-user" sheetId="94" r:id="rId7"/>
    <sheet name="3.4. Electrolysers" sheetId="87" r:id="rId8"/>
    <sheet name="4.1. Fuel and CO2 prices" sheetId="93" r:id="rId9"/>
    <sheet name="4.2. Investment costs" sheetId="90" r:id="rId10"/>
    <sheet name="4.3. Outages" sheetId="47" r:id="rId11"/>
    <sheet name="4.4. Flex. charact." sheetId="95" r:id="rId12"/>
    <sheet name="5.1. Flow based domains" sheetId="77" r:id="rId13"/>
    <sheet name="6.1. Data for other countries" sheetId="73" r:id="rId14"/>
    <sheet name="7.1. LCT" sheetId="96" r:id="rId15"/>
  </sheets>
  <definedNames>
    <definedName name="_xlnm._FilterDatabase" localSheetId="1" hidden="1">'1.1. Ind. mod. thermal prod. '!$B$12:$V$100</definedName>
    <definedName name="a" localSheetId="2" hidden="1">#REF!</definedName>
    <definedName name="a" localSheetId="3" hidden="1">#REF!</definedName>
    <definedName name="a" localSheetId="4" hidden="1">#REF!</definedName>
    <definedName name="a" localSheetId="5" hidden="1">#REF!</definedName>
    <definedName name="a" localSheetId="6" hidden="1">#REF!</definedName>
    <definedName name="a" localSheetId="8" hidden="1">#REF!</definedName>
    <definedName name="a" localSheetId="9" hidden="1">#REF!</definedName>
    <definedName name="a" localSheetId="11" hidden="1">#REF!</definedName>
    <definedName name="a" localSheetId="12" hidden="1">#REF!</definedName>
    <definedName name="a" localSheetId="13" hidden="1">#REF!</definedName>
    <definedName name="a" hidden="1">#REF!</definedName>
    <definedName name="aaa" localSheetId="3" hidden="1">#REF!</definedName>
    <definedName name="aaa" localSheetId="5" hidden="1">#REF!</definedName>
    <definedName name="aaa" localSheetId="6" hidden="1">#REF!</definedName>
    <definedName name="aaa" localSheetId="8" hidden="1">#REF!</definedName>
    <definedName name="aaa" localSheetId="9" hidden="1">#REF!</definedName>
    <definedName name="aaa" localSheetId="11" hidden="1">#REF!</definedName>
    <definedName name="aaa" localSheetId="12" hidden="1">#REF!</definedName>
    <definedName name="aaa" localSheetId="13" hidden="1">#REF!</definedName>
    <definedName name="aaa" hidden="1">#REF!</definedName>
    <definedName name="as" localSheetId="3" hidden="1">#REF!</definedName>
    <definedName name="as" localSheetId="5" hidden="1">#REF!</definedName>
    <definedName name="as" localSheetId="6" hidden="1">#REF!</definedName>
    <definedName name="as" localSheetId="8" hidden="1">#REF!</definedName>
    <definedName name="as" localSheetId="9" hidden="1">#REF!</definedName>
    <definedName name="as" localSheetId="11" hidden="1">#REF!</definedName>
    <definedName name="as" localSheetId="12" hidden="1">#REF!</definedName>
    <definedName name="as" localSheetId="13" hidden="1">#REF!</definedName>
    <definedName name="as" hidden="1">#REF!</definedName>
    <definedName name="b" localSheetId="3" hidden="1">#REF!</definedName>
    <definedName name="b" localSheetId="6" hidden="1">#REF!</definedName>
    <definedName name="b" localSheetId="8" hidden="1">#REF!</definedName>
    <definedName name="b" localSheetId="9" hidden="1">#REF!</definedName>
    <definedName name="b" localSheetId="11" hidden="1">#REF!</definedName>
    <definedName name="b" localSheetId="12" hidden="1">#REF!</definedName>
    <definedName name="b" localSheetId="13" hidden="1">#REF!</definedName>
    <definedName name="b" hidden="1">#REF!</definedName>
    <definedName name="CL" localSheetId="3" hidden="1">#REF!</definedName>
    <definedName name="CL" localSheetId="6" hidden="1">#REF!</definedName>
    <definedName name="CL" localSheetId="8" hidden="1">#REF!</definedName>
    <definedName name="CL" localSheetId="9" hidden="1">#REF!</definedName>
    <definedName name="CL" localSheetId="11" hidden="1">#REF!</definedName>
    <definedName name="CL" localSheetId="12" hidden="1">#REF!</definedName>
    <definedName name="CL" localSheetId="13" hidden="1">#REF!</definedName>
    <definedName name="CL" hidden="1">#REF!</definedName>
    <definedName name="DHH" localSheetId="3" hidden="1">#REF!</definedName>
    <definedName name="DHH" localSheetId="6" hidden="1">#REF!</definedName>
    <definedName name="DHH" localSheetId="8" hidden="1">#REF!</definedName>
    <definedName name="DHH" localSheetId="9" hidden="1">#REF!</definedName>
    <definedName name="DHH" localSheetId="11" hidden="1">#REF!</definedName>
    <definedName name="DHH" localSheetId="12" hidden="1">#REF!</definedName>
    <definedName name="DHH" localSheetId="13" hidden="1">#REF!</definedName>
    <definedName name="DHH" hidden="1">#REF!</definedName>
    <definedName name="DHhA" localSheetId="3" hidden="1">#REF!</definedName>
    <definedName name="DHhA" localSheetId="6" hidden="1">#REF!</definedName>
    <definedName name="DHhA" localSheetId="8" hidden="1">#REF!</definedName>
    <definedName name="DHhA" localSheetId="9" hidden="1">#REF!</definedName>
    <definedName name="DHhA" localSheetId="11" hidden="1">#REF!</definedName>
    <definedName name="DHhA" localSheetId="12" hidden="1">#REF!</definedName>
    <definedName name="DHhA" localSheetId="13" hidden="1">#REF!</definedName>
    <definedName name="DHhA" hidden="1">#REF!</definedName>
    <definedName name="ko" localSheetId="3" hidden="1">#REF!</definedName>
    <definedName name="ko" localSheetId="6" hidden="1">#REF!</definedName>
    <definedName name="ko" localSheetId="8" hidden="1">#REF!</definedName>
    <definedName name="ko" localSheetId="9" hidden="1">#REF!</definedName>
    <definedName name="ko" localSheetId="11" hidden="1">#REF!</definedName>
    <definedName name="ko" localSheetId="12" hidden="1">#REF!</definedName>
    <definedName name="ko" localSheetId="13" hidden="1">#REF!</definedName>
    <definedName name="ko" hidden="1">#REF!</definedName>
    <definedName name="koko" localSheetId="3" hidden="1">#REF!</definedName>
    <definedName name="koko" localSheetId="6" hidden="1">#REF!</definedName>
    <definedName name="koko" localSheetId="8" hidden="1">#REF!</definedName>
    <definedName name="koko" localSheetId="9" hidden="1">#REF!</definedName>
    <definedName name="koko" localSheetId="11" hidden="1">#REF!</definedName>
    <definedName name="koko" localSheetId="12" hidden="1">#REF!</definedName>
    <definedName name="koko" localSheetId="13" hidden="1">#REF!</definedName>
    <definedName name="koko" hidden="1">#REF!</definedName>
    <definedName name="test" localSheetId="3" hidden="1">#REF!</definedName>
    <definedName name="test" localSheetId="6" hidden="1">#REF!</definedName>
    <definedName name="test" localSheetId="8" hidden="1">#REF!</definedName>
    <definedName name="test" localSheetId="9" hidden="1">#REF!</definedName>
    <definedName name="test" localSheetId="11" hidden="1">#REF!</definedName>
    <definedName name="test" localSheetId="12" hidden="1">#REF!</definedName>
    <definedName name="test" localSheetId="13" hidden="1">#REF!</definedName>
    <definedName name="test" hidden="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0" i="94" l="1"/>
  <c r="T20" i="94"/>
  <c r="S20" i="94"/>
  <c r="R20" i="94"/>
  <c r="Q20" i="94"/>
  <c r="P20" i="94"/>
  <c r="O20" i="94"/>
  <c r="N20" i="94"/>
  <c r="M20" i="94"/>
  <c r="L20" i="94"/>
  <c r="K20" i="94"/>
  <c r="J20" i="94"/>
  <c r="I20" i="94"/>
  <c r="H20" i="94"/>
  <c r="G20" i="94"/>
  <c r="F20" i="94"/>
  <c r="U19" i="94"/>
  <c r="T19" i="94"/>
  <c r="S19" i="94"/>
  <c r="R19" i="94"/>
  <c r="Q19" i="94"/>
  <c r="P19" i="94"/>
  <c r="O19" i="94"/>
  <c r="N19" i="94"/>
  <c r="M19" i="94"/>
  <c r="L19" i="94"/>
  <c r="K19" i="94"/>
  <c r="J19" i="94"/>
  <c r="I19" i="94"/>
  <c r="H19" i="94"/>
  <c r="G19" i="94"/>
  <c r="F19" i="94"/>
  <c r="U18" i="94"/>
  <c r="T18" i="94"/>
  <c r="S18" i="94"/>
  <c r="R18" i="94"/>
  <c r="Q18" i="94"/>
  <c r="P18" i="94"/>
  <c r="O18" i="94"/>
  <c r="N18" i="94"/>
  <c r="M18" i="94"/>
  <c r="L18" i="94"/>
  <c r="K18" i="94"/>
  <c r="J18" i="94"/>
  <c r="I18" i="94"/>
  <c r="H18" i="94"/>
  <c r="G18" i="94"/>
  <c r="F18" i="94"/>
  <c r="U17" i="94"/>
  <c r="T17" i="94"/>
  <c r="S17" i="94"/>
  <c r="R17" i="94"/>
  <c r="Q17" i="94"/>
  <c r="P17" i="94"/>
  <c r="O17" i="94"/>
  <c r="N17" i="94"/>
  <c r="M17" i="94"/>
  <c r="L17" i="94"/>
  <c r="K17" i="94"/>
  <c r="J17" i="94"/>
  <c r="I17" i="94"/>
  <c r="H17" i="94"/>
  <c r="G17" i="94"/>
  <c r="F17" i="94"/>
  <c r="U16" i="94"/>
  <c r="T16" i="94"/>
  <c r="S16" i="94"/>
  <c r="R16" i="94"/>
  <c r="Q16" i="94"/>
  <c r="P16" i="94"/>
  <c r="O16" i="94"/>
  <c r="N16" i="94"/>
  <c r="M16" i="94"/>
  <c r="L16" i="94"/>
  <c r="K16" i="94"/>
  <c r="J16" i="94"/>
  <c r="I16" i="94"/>
  <c r="H16" i="94"/>
  <c r="G16" i="94"/>
  <c r="F16" i="94"/>
  <c r="U15" i="94"/>
  <c r="T15" i="94"/>
  <c r="S15" i="94"/>
  <c r="R15" i="94"/>
  <c r="Q15" i="94"/>
  <c r="P15" i="94"/>
  <c r="O15" i="94"/>
  <c r="N15" i="94"/>
  <c r="M15" i="94"/>
  <c r="L15" i="94"/>
  <c r="K15" i="94"/>
  <c r="J15" i="94"/>
  <c r="I15" i="94"/>
  <c r="H15" i="94"/>
  <c r="G15" i="94"/>
  <c r="F15" i="94"/>
  <c r="U14" i="94"/>
  <c r="T14" i="94"/>
  <c r="S14" i="94"/>
  <c r="R14" i="94"/>
  <c r="Q14" i="94"/>
  <c r="P14" i="94"/>
  <c r="O14" i="94"/>
  <c r="N14" i="94"/>
  <c r="M14" i="94"/>
  <c r="L14" i="94"/>
  <c r="K14" i="94"/>
  <c r="J14" i="94"/>
  <c r="I14" i="94"/>
  <c r="H14" i="94"/>
  <c r="G14" i="94"/>
  <c r="F14" i="94"/>
  <c r="C78" i="96" l="1"/>
  <c r="D78" i="96"/>
  <c r="C79" i="96"/>
  <c r="D79" i="96"/>
  <c r="C80" i="96"/>
  <c r="D80" i="96"/>
  <c r="C81" i="96"/>
  <c r="D81" i="96"/>
  <c r="C82" i="96"/>
  <c r="D77" i="96"/>
  <c r="C77" i="96"/>
  <c r="C70" i="96"/>
  <c r="C71" i="96"/>
  <c r="C72" i="96"/>
  <c r="D71" i="96"/>
  <c r="D72" i="96"/>
  <c r="D62" i="96"/>
  <c r="D63" i="96"/>
  <c r="D64" i="96"/>
  <c r="D65" i="96"/>
  <c r="D66" i="96"/>
  <c r="D68" i="96"/>
  <c r="D69" i="96"/>
  <c r="D70" i="96"/>
  <c r="C62" i="96"/>
  <c r="C63" i="96"/>
  <c r="C64" i="96"/>
  <c r="C65" i="96"/>
  <c r="C66" i="96"/>
  <c r="C67" i="96"/>
  <c r="C68" i="96"/>
  <c r="C69" i="96"/>
  <c r="C61" i="96"/>
  <c r="E36" i="96"/>
  <c r="D31" i="96"/>
  <c r="C27" i="96"/>
  <c r="C21" i="96"/>
  <c r="C22" i="96"/>
  <c r="C23" i="96"/>
  <c r="C24" i="96"/>
  <c r="C25" i="96"/>
  <c r="C26" i="96"/>
  <c r="D16" i="96"/>
  <c r="D15" i="96"/>
  <c r="D14" i="96"/>
  <c r="D13" i="96"/>
  <c r="D12" i="96"/>
  <c r="D11" i="96"/>
  <c r="D10" i="96"/>
  <c r="D9" i="96"/>
  <c r="D8" i="96"/>
  <c r="D7" i="96"/>
  <c r="F117" i="96" l="1"/>
  <c r="G117" i="96"/>
  <c r="H117" i="96"/>
  <c r="I117" i="96"/>
  <c r="J117" i="96"/>
  <c r="K117" i="96"/>
  <c r="L117" i="96"/>
  <c r="F118" i="96"/>
  <c r="G118" i="96"/>
  <c r="H118" i="96"/>
  <c r="I118" i="96"/>
  <c r="J118" i="96"/>
  <c r="K118" i="96"/>
  <c r="L118" i="96"/>
  <c r="F119" i="96"/>
  <c r="G119" i="96"/>
  <c r="H119" i="96"/>
  <c r="I119" i="96"/>
  <c r="J119" i="96"/>
  <c r="K119" i="96"/>
  <c r="L119" i="96"/>
  <c r="F120" i="96"/>
  <c r="G120" i="96"/>
  <c r="H120" i="96"/>
  <c r="I120" i="96"/>
  <c r="J120" i="96"/>
  <c r="K120" i="96"/>
  <c r="L120" i="96"/>
  <c r="F121" i="96"/>
  <c r="G121" i="96"/>
  <c r="H121" i="96"/>
  <c r="I121" i="96"/>
  <c r="J121" i="96"/>
  <c r="K121" i="96"/>
  <c r="L121" i="96"/>
  <c r="L116" i="96"/>
  <c r="K116" i="96"/>
  <c r="J116" i="96"/>
  <c r="I116" i="96"/>
  <c r="H116" i="96"/>
  <c r="G116" i="96"/>
  <c r="F116" i="96"/>
  <c r="E117" i="96"/>
  <c r="E118" i="96"/>
  <c r="E119" i="96"/>
  <c r="E120" i="96"/>
  <c r="E121" i="96"/>
  <c r="E116" i="96"/>
  <c r="C117" i="96"/>
  <c r="D117" i="96"/>
  <c r="C118" i="96"/>
  <c r="D118" i="96"/>
  <c r="C119" i="96"/>
  <c r="D119" i="96"/>
  <c r="C120" i="96"/>
  <c r="D120" i="96"/>
  <c r="C121" i="96"/>
  <c r="D121" i="96"/>
  <c r="D116" i="96"/>
  <c r="C116" i="96"/>
  <c r="D25" i="93" l="1"/>
  <c r="E25" i="93"/>
  <c r="F25" i="93" l="1"/>
  <c r="D82" i="96"/>
  <c r="G25" i="93"/>
  <c r="H25" i="93" s="1"/>
  <c r="I25" i="93" s="1"/>
  <c r="J25" i="93" s="1"/>
  <c r="U43" i="94"/>
  <c r="T43" i="94"/>
  <c r="S43" i="94"/>
  <c r="R43" i="94"/>
  <c r="Q43" i="94"/>
  <c r="P43" i="94"/>
  <c r="O43" i="94"/>
  <c r="N43" i="94"/>
  <c r="M43" i="94"/>
  <c r="L43" i="94"/>
  <c r="K43" i="94"/>
  <c r="J43" i="94"/>
  <c r="I43" i="94"/>
  <c r="H43" i="94"/>
  <c r="G43" i="94"/>
  <c r="H310" i="92" l="1"/>
  <c r="H309" i="92"/>
  <c r="H308" i="92"/>
  <c r="H307" i="92"/>
  <c r="H306" i="92"/>
  <c r="H305" i="92"/>
  <c r="H304" i="92"/>
  <c r="H303" i="92"/>
  <c r="H302" i="92"/>
  <c r="H301" i="92"/>
  <c r="H300" i="92"/>
  <c r="H299" i="92"/>
  <c r="H298" i="92"/>
  <c r="H297" i="92"/>
  <c r="H296" i="92"/>
  <c r="H284" i="92"/>
  <c r="H283" i="92"/>
  <c r="H282" i="92"/>
  <c r="H281" i="92"/>
  <c r="H280" i="92"/>
  <c r="H279" i="92"/>
  <c r="H278" i="92"/>
  <c r="H277" i="92"/>
  <c r="H276" i="92"/>
  <c r="H275" i="92"/>
  <c r="H274" i="92"/>
  <c r="H273" i="92"/>
  <c r="H272" i="92"/>
  <c r="H271" i="92"/>
  <c r="H270" i="92"/>
  <c r="I250" i="92"/>
  <c r="I249" i="92"/>
  <c r="I248" i="92"/>
  <c r="I247" i="92"/>
  <c r="I246" i="92"/>
  <c r="I245" i="92"/>
  <c r="I244" i="92"/>
  <c r="I243" i="92"/>
  <c r="I242" i="92"/>
  <c r="I241" i="92"/>
  <c r="I240" i="92"/>
  <c r="I239" i="92"/>
  <c r="I238" i="92"/>
  <c r="I237" i="92"/>
  <c r="I236" i="92"/>
  <c r="I210" i="92"/>
  <c r="I209" i="92"/>
  <c r="I208" i="92"/>
  <c r="I207" i="92"/>
  <c r="I206" i="92"/>
  <c r="I205" i="92"/>
  <c r="I204" i="92"/>
  <c r="I203" i="92"/>
  <c r="I202" i="92"/>
  <c r="I201" i="92"/>
  <c r="I200" i="92"/>
  <c r="I199" i="92"/>
  <c r="I198" i="92"/>
  <c r="I197" i="92"/>
  <c r="I196" i="92"/>
  <c r="D188" i="92"/>
  <c r="K43" i="92"/>
  <c r="J43" i="92"/>
  <c r="K42" i="92"/>
  <c r="J42" i="92"/>
  <c r="K41" i="92"/>
  <c r="J41" i="92"/>
  <c r="K40" i="92"/>
  <c r="J40" i="92"/>
  <c r="K39" i="92"/>
  <c r="J39" i="92"/>
  <c r="K38" i="92"/>
  <c r="J38" i="92"/>
  <c r="K37" i="92"/>
  <c r="J37" i="92"/>
  <c r="K36" i="92"/>
  <c r="J36" i="92"/>
  <c r="K35" i="92"/>
  <c r="J35" i="92"/>
  <c r="K34" i="92"/>
  <c r="J34" i="92"/>
  <c r="K33" i="92"/>
  <c r="J33" i="92"/>
  <c r="K32" i="92"/>
  <c r="J32" i="92"/>
  <c r="K31" i="92"/>
  <c r="J31" i="92"/>
  <c r="K30" i="92"/>
  <c r="J30" i="92"/>
  <c r="AL79" i="73" l="1"/>
  <c r="AK79" i="73"/>
  <c r="AJ79" i="73"/>
  <c r="AI79" i="73"/>
  <c r="AH79" i="73"/>
  <c r="AG79" i="73"/>
  <c r="AF79" i="73"/>
  <c r="AE79" i="73"/>
  <c r="AD79" i="73"/>
  <c r="AC79" i="73"/>
  <c r="AB79" i="73"/>
  <c r="AA79" i="73"/>
  <c r="Z79" i="73"/>
  <c r="D9" i="87" l="1"/>
  <c r="D18" i="85" l="1"/>
  <c r="E18" i="85"/>
  <c r="F18" i="85"/>
  <c r="D67" i="96" s="1"/>
  <c r="G18" i="85"/>
  <c r="H18" i="85"/>
  <c r="I18" i="85"/>
  <c r="J18" i="85"/>
  <c r="K18" i="85"/>
  <c r="L18" i="85"/>
  <c r="M18" i="85"/>
  <c r="N18" i="85"/>
  <c r="O18" i="85"/>
  <c r="P18" i="85"/>
  <c r="C18" i="85"/>
  <c r="D11" i="85"/>
  <c r="E11" i="85"/>
  <c r="F11" i="85"/>
  <c r="D61" i="96" s="1"/>
  <c r="G11" i="85"/>
  <c r="H11" i="85"/>
  <c r="I11" i="85"/>
  <c r="J11" i="85"/>
  <c r="K11" i="85"/>
  <c r="C11" i="85"/>
  <c r="P11" i="85"/>
  <c r="L11" i="85" l="1"/>
  <c r="N11" i="85"/>
  <c r="O11" i="85"/>
  <c r="M11" i="85"/>
  <c r="E18" i="79" l="1"/>
  <c r="F18" i="79" l="1"/>
  <c r="R18" i="79"/>
  <c r="Q18" i="79"/>
  <c r="P18" i="79"/>
  <c r="O18" i="79"/>
  <c r="N18" i="79"/>
  <c r="M18" i="79"/>
  <c r="L18" i="79"/>
  <c r="K18" i="79"/>
  <c r="J18" i="79"/>
  <c r="I18" i="79"/>
  <c r="H18" i="79"/>
  <c r="G18" i="79"/>
  <c r="E12" i="79"/>
  <c r="E11" i="79" s="1"/>
  <c r="R11" i="79"/>
  <c r="Q11" i="79"/>
  <c r="P11" i="79"/>
  <c r="O11" i="79"/>
  <c r="N11" i="79"/>
  <c r="M11" i="79"/>
  <c r="L11" i="79"/>
  <c r="K11" i="79"/>
  <c r="J11" i="79"/>
  <c r="I11" i="79"/>
  <c r="H11" i="79"/>
  <c r="G11" i="79"/>
  <c r="F11" i="79"/>
  <c r="AO150" i="78"/>
  <c r="AP150" i="78" s="1"/>
  <c r="AQ150" i="78" s="1"/>
  <c r="AN94" i="78"/>
  <c r="AE94" i="78"/>
  <c r="AF94" i="78" s="1"/>
  <c r="AO92" i="78"/>
  <c r="AP92" i="78" s="1"/>
  <c r="AF64" i="78"/>
  <c r="AG64" i="78" s="1"/>
  <c r="F12" i="78" s="1"/>
  <c r="AE64" i="78"/>
  <c r="Q22" i="78"/>
  <c r="P22" i="78"/>
  <c r="O22" i="78"/>
  <c r="N22" i="78"/>
  <c r="M22" i="78"/>
  <c r="L22" i="78"/>
  <c r="K22" i="78"/>
  <c r="J22" i="78"/>
  <c r="I22" i="78"/>
  <c r="H22" i="78"/>
  <c r="G22" i="78"/>
  <c r="D27" i="96" s="1"/>
  <c r="F22" i="78"/>
  <c r="E22" i="78"/>
  <c r="D22" i="78"/>
  <c r="Q20" i="78"/>
  <c r="P20" i="78"/>
  <c r="O20" i="78"/>
  <c r="N20" i="78"/>
  <c r="M20" i="78"/>
  <c r="L20" i="78"/>
  <c r="K20" i="78"/>
  <c r="J20" i="78"/>
  <c r="I20" i="78"/>
  <c r="H20" i="78"/>
  <c r="G20" i="78"/>
  <c r="D26" i="96" s="1"/>
  <c r="F20" i="78"/>
  <c r="E20" i="78"/>
  <c r="D20" i="78"/>
  <c r="Q16" i="78"/>
  <c r="P16" i="78"/>
  <c r="O16" i="78"/>
  <c r="N16" i="78"/>
  <c r="M16" i="78"/>
  <c r="L16" i="78"/>
  <c r="K16" i="78"/>
  <c r="J16" i="78"/>
  <c r="I16" i="78"/>
  <c r="H16" i="78"/>
  <c r="G16" i="78"/>
  <c r="D25" i="96" s="1"/>
  <c r="F16" i="78"/>
  <c r="E16" i="78"/>
  <c r="D16" i="78"/>
  <c r="M14" i="78"/>
  <c r="L14" i="78"/>
  <c r="K14" i="78"/>
  <c r="J14" i="78"/>
  <c r="I14" i="78"/>
  <c r="H14" i="78"/>
  <c r="G14" i="78"/>
  <c r="D24" i="96" s="1"/>
  <c r="F14" i="78"/>
  <c r="E14" i="78"/>
  <c r="D14" i="78"/>
  <c r="E12" i="78"/>
  <c r="D12" i="78"/>
  <c r="Q10" i="78"/>
  <c r="P10" i="78"/>
  <c r="O10" i="78"/>
  <c r="N10" i="78"/>
  <c r="M10" i="78"/>
  <c r="L10" i="78"/>
  <c r="K10" i="78"/>
  <c r="J10" i="78"/>
  <c r="I10" i="78"/>
  <c r="H10" i="78"/>
  <c r="G10" i="78"/>
  <c r="D22" i="96" s="1"/>
  <c r="F10" i="78"/>
  <c r="E10" i="78"/>
  <c r="D10" i="78"/>
  <c r="M9" i="78"/>
  <c r="M8" i="78" s="1"/>
  <c r="N14" i="78" l="1"/>
  <c r="O14" i="78"/>
  <c r="AO94" i="78"/>
  <c r="N9" i="78" s="1"/>
  <c r="N8" i="78" s="1"/>
  <c r="D9" i="78"/>
  <c r="D8" i="78" s="1"/>
  <c r="AP94" i="78"/>
  <c r="AR150" i="78"/>
  <c r="Q14" i="78" s="1"/>
  <c r="P14" i="78"/>
  <c r="AG94" i="78"/>
  <c r="E9" i="78"/>
  <c r="E8" i="78" s="1"/>
  <c r="AH64" i="78"/>
  <c r="O9" i="78" l="1"/>
  <c r="O8" i="78" s="1"/>
  <c r="AQ94" i="78"/>
  <c r="AI64" i="78"/>
  <c r="G12" i="78"/>
  <c r="D23" i="96" s="1"/>
  <c r="F9" i="78"/>
  <c r="F8" i="78" s="1"/>
  <c r="AH94" i="78"/>
  <c r="AR94" i="78" l="1"/>
  <c r="Q9" i="78" s="1"/>
  <c r="Q8" i="78" s="1"/>
  <c r="P9" i="78"/>
  <c r="P8" i="78" s="1"/>
  <c r="AJ64" i="78"/>
  <c r="H12" i="78"/>
  <c r="G9" i="78"/>
  <c r="AI94" i="78"/>
  <c r="G8" i="78" l="1"/>
  <c r="D21" i="96"/>
  <c r="AJ94" i="78"/>
  <c r="H9" i="78"/>
  <c r="H8" i="78" s="1"/>
  <c r="AK64" i="78"/>
  <c r="I12" i="78"/>
  <c r="AL64" i="78" l="1"/>
  <c r="J12" i="78"/>
  <c r="AK94" i="78"/>
  <c r="I9" i="78"/>
  <c r="I8" i="78" s="1"/>
  <c r="AL94" i="78" l="1"/>
  <c r="J9" i="78"/>
  <c r="J8" i="78" s="1"/>
  <c r="K12" i="78"/>
  <c r="AM64" i="78"/>
  <c r="AN64" i="78" l="1"/>
  <c r="L12" i="78"/>
  <c r="AM94" i="78"/>
  <c r="L9" i="78" s="1"/>
  <c r="L8" i="78" s="1"/>
  <c r="K9" i="78"/>
  <c r="K8" i="78" s="1"/>
  <c r="M12" i="78" l="1"/>
  <c r="AO64" i="78"/>
  <c r="N12" i="78" l="1"/>
  <c r="AP64" i="78"/>
  <c r="AQ64" i="78" l="1"/>
  <c r="O12" i="78"/>
  <c r="AR64" i="78" l="1"/>
  <c r="Q12" i="78" s="1"/>
  <c r="P12" i="78"/>
</calcChain>
</file>

<file path=xl/sharedStrings.xml><?xml version="1.0" encoding="utf-8"?>
<sst xmlns="http://schemas.openxmlformats.org/spreadsheetml/2006/main" count="3208" uniqueCount="1054">
  <si>
    <t>Adequacy and Flexibility study 2024-2034 - public consultation on the central scenario and data</t>
  </si>
  <si>
    <t>This data is provided in the framework of the Adequacy and Flexibility study covering the years from 2024 to 2034. This study will be published before end of June 2023 as requested by law.</t>
  </si>
  <si>
    <r>
      <t>Data contained in this document is subject to a public consultation,</t>
    </r>
    <r>
      <rPr>
        <b/>
        <sz val="11"/>
        <rFont val="Calibri"/>
        <family val="2"/>
        <scheme val="minor"/>
      </rPr>
      <t xml:space="preserve"> starting 28/10/2022 and ending 28/11/2022 at 6:00 pm.</t>
    </r>
  </si>
  <si>
    <t>This Excel file contains the data related to the scenario framework of the study including economic and flexibility aspects. A text explaining the data and assumptions taken is also made available aswell as the explanatory note which is also submitted to this public consultation.</t>
  </si>
  <si>
    <t>The methodology is fully available for the public consultation with detailed appendixes. The stakeholders can also use the presentation given during the Working Group Adequacy (28/10) as explanatory document where most of the data  in this document are also presented.</t>
  </si>
  <si>
    <t>Input data for market and flexibility simulations</t>
  </si>
  <si>
    <t>1.  Generation</t>
  </si>
  <si>
    <t xml:space="preserve">1.1. Invidividually modelled thermal generation </t>
  </si>
  <si>
    <t>1.2. Renewable energy sources and non-CIPU thermal units</t>
  </si>
  <si>
    <t>2. Demand</t>
  </si>
  <si>
    <t>2.1. Total electricity demand</t>
  </si>
  <si>
    <t>3. Flexibility</t>
  </si>
  <si>
    <t>3.1. Storage</t>
  </si>
  <si>
    <t>3.2. Industry flexibility</t>
  </si>
  <si>
    <t>3.3. End-user flexibility</t>
  </si>
  <si>
    <t>3.4. Electrolysers</t>
  </si>
  <si>
    <t>4. Economic and technical variables</t>
  </si>
  <si>
    <t>4.1. Fuel and CO2 prices</t>
  </si>
  <si>
    <t>4.2. Investment costs</t>
  </si>
  <si>
    <t>4.3. Outages</t>
  </si>
  <si>
    <t>4.4. Flexibility characteristics</t>
  </si>
  <si>
    <t>5. Flow-based domains</t>
  </si>
  <si>
    <t>5.1. Main assumptions for flow-based domains</t>
  </si>
  <si>
    <t>6. Other countries</t>
  </si>
  <si>
    <t>6.1. Data for other countries</t>
  </si>
  <si>
    <t>7. Low-carbon Tender (LCT)</t>
  </si>
  <si>
    <t>7.1. Dataset for LCT</t>
  </si>
  <si>
    <t>1.1. Individually modelled thermal generation</t>
  </si>
  <si>
    <t>Sources</t>
  </si>
  <si>
    <t>Color Legend</t>
  </si>
  <si>
    <t xml:space="preserve">- This information is based on official information known. </t>
  </si>
  <si>
    <t>Units that will not be part of the EVA unless are indicated by market parties to be at risk or that the support mechanism is to be stopped in the future</t>
  </si>
  <si>
    <t>- Please inform us if any unit(s) are to be considered as not available for future time horizons or if any of those units are at risk of not being available and for which reasons.</t>
  </si>
  <si>
    <t>Units that are not available for the market or closed</t>
  </si>
  <si>
    <t>Units will be part of the Economic Viability Assessment (EVA)</t>
  </si>
  <si>
    <t>Available  units and no EVA will be performed (nuclear)</t>
  </si>
  <si>
    <t>Available  units and no EVA will be performed (new CCGT)</t>
  </si>
  <si>
    <t>Situation at end of the given year - considered as available for the EVA/market</t>
  </si>
  <si>
    <t>Owner</t>
  </si>
  <si>
    <t>Production unit name</t>
  </si>
  <si>
    <t>Type</t>
  </si>
  <si>
    <t>Fuel type</t>
  </si>
  <si>
    <t>Net generation capacity [MW]</t>
  </si>
  <si>
    <t>Efficiency
[%]</t>
  </si>
  <si>
    <t>VOM
[€/MWh]</t>
  </si>
  <si>
    <t>Proposal to be considered in the Economic Viability Assessment (EVA)</t>
  </si>
  <si>
    <t>Comments</t>
  </si>
  <si>
    <t>Engie electrabel</t>
  </si>
  <si>
    <t>AALTER TJ</t>
  </si>
  <si>
    <t>TJ</t>
  </si>
  <si>
    <t>Oil</t>
  </si>
  <si>
    <t>Yes</t>
  </si>
  <si>
    <t>yes</t>
  </si>
  <si>
    <t>AMERCOEUR 1R GT</t>
  </si>
  <si>
    <t>CCGT-GT</t>
  </si>
  <si>
    <t>Gas</t>
  </si>
  <si>
    <t>AMERCOEUR 1R ST_cur</t>
  </si>
  <si>
    <t>CCGT-ST</t>
  </si>
  <si>
    <t>AWIRS 4</t>
  </si>
  <si>
    <t>CL</t>
  </si>
  <si>
    <t>Biomass</t>
  </si>
  <si>
    <t>-</t>
  </si>
  <si>
    <t>no</t>
  </si>
  <si>
    <t>Decommissioning: 01/09/2020 - https://economie.fgov.be/sites/default/files/Files/Energy/Mise-arret-definitive-unite-Awirs-4.pdf</t>
  </si>
  <si>
    <t>Engie - Electrabel</t>
  </si>
  <si>
    <t>AWIRS NEW</t>
  </si>
  <si>
    <t>CCGT</t>
  </si>
  <si>
    <t>No</t>
  </si>
  <si>
    <t>Contracted in the CRM  Y-4 auction for Delivery Period 2025-26 for a duration of 15 years - https://www.elia.be/en/grid-data/adequacy/crm-auction-results</t>
  </si>
  <si>
    <t>BEERSE TJ</t>
  </si>
  <si>
    <t>Indaver</t>
  </si>
  <si>
    <t>Beveren 2 Indaver</t>
  </si>
  <si>
    <t>IS</t>
  </si>
  <si>
    <t>Waste</t>
  </si>
  <si>
    <t>No, unless elements that the unit is at risk or support mechanism to be ended</t>
  </si>
  <si>
    <t>Beveren 3 Indaver</t>
  </si>
  <si>
    <t>Beveren Ineos Phenol Chem</t>
  </si>
  <si>
    <t>CHP</t>
  </si>
  <si>
    <t>Beveren Sleco</t>
  </si>
  <si>
    <t>Biopower</t>
  </si>
  <si>
    <t>Biomassa Oostende</t>
  </si>
  <si>
    <t>Biostoom</t>
  </si>
  <si>
    <t>Biostoom Oostende</t>
  </si>
  <si>
    <t>Borealis</t>
  </si>
  <si>
    <t>Borealis Kallo Cogen GT_ST</t>
  </si>
  <si>
    <t>CIERREUX TJ</t>
  </si>
  <si>
    <t>DOEL 1</t>
  </si>
  <si>
    <t>NU</t>
  </si>
  <si>
    <t>Nuclear</t>
  </si>
  <si>
    <t>No - based on the law (official closure dates taken into account)</t>
  </si>
  <si>
    <t>Decommissioning: 15/02/2025 - https://economie.fgov.be/fr/themes/energie/sources-denergie/nucleaire/base-legale-de-la-sortie-du</t>
  </si>
  <si>
    <t>DOEL 2</t>
  </si>
  <si>
    <t>Decommissioning: 01/12/2025 - https://economie.fgov.be/fr/themes/energie/sources-denergie/nucleaire/base-legale-de-la-sortie-du</t>
  </si>
  <si>
    <t>DOEL 3</t>
  </si>
  <si>
    <t>Decommissioning: 01/10/2022 - https://economie.fgov.be/fr/themes/energie/sources-denergie/nucleaire/base-legale-de-la-sortie-du</t>
  </si>
  <si>
    <t>DOEL 4</t>
  </si>
  <si>
    <t>Lifetime extension - Considered operational for winter 26-27</t>
  </si>
  <si>
    <t>DROGENBOS GT1</t>
  </si>
  <si>
    <t>DROGENBOS GT2</t>
  </si>
  <si>
    <t>DROGENBOS ST</t>
  </si>
  <si>
    <t>Luminus</t>
  </si>
  <si>
    <t>EDF Luminus Angleur GT31</t>
  </si>
  <si>
    <t>GT</t>
  </si>
  <si>
    <t>EDF Luminus Angleur GT32</t>
  </si>
  <si>
    <t>EDF Luminus Angleur GT41</t>
  </si>
  <si>
    <t>EDF Luminus Angleur GT42</t>
  </si>
  <si>
    <t>EDF Luminus Ham GT31</t>
  </si>
  <si>
    <t>EDF Luminus Ham GT32</t>
  </si>
  <si>
    <t>EDF Luminus Ham STEG</t>
  </si>
  <si>
    <t>EDF Luminus Ringvaart STEG</t>
  </si>
  <si>
    <t>EDF Luminus Seraing GT1</t>
  </si>
  <si>
    <t>EDF Luminus Seraing GT2</t>
  </si>
  <si>
    <t>EDF Luminus Seraing TGV</t>
  </si>
  <si>
    <r>
      <rPr>
        <sz val="11"/>
        <rFont val="Calibri"/>
        <family val="2"/>
        <scheme val="minor"/>
      </rPr>
      <t xml:space="preserve">Art. 4bis - Decommissioning date: 31/10/2025 -  </t>
    </r>
    <r>
      <rPr>
        <u/>
        <sz val="11"/>
        <color theme="10"/>
        <rFont val="Calibri"/>
        <family val="2"/>
        <scheme val="minor"/>
      </rPr>
      <t>https://economie.fgov.be/sites/default/files/Files/Energy/CA20210930-2-LUM-FOD%20ECONOMIE-buitenwerkingstelling-stoomturbine-Seraing.pdf</t>
    </r>
  </si>
  <si>
    <t>EDF Luminus Seraing NEW</t>
  </si>
  <si>
    <t xml:space="preserve">Contracted in the CRM  Y-4 auction for Delivery Period 2025-26 for a duration of 15 years - https://www.elia.be/en/grid-data/adequacy/crm-auction-results </t>
  </si>
  <si>
    <t>Euro-silo</t>
  </si>
  <si>
    <t>Euro-Silo</t>
  </si>
  <si>
    <t>E-wood</t>
  </si>
  <si>
    <t>Fluxys LNG Zeebrugge WKK</t>
  </si>
  <si>
    <t>Green Power</t>
  </si>
  <si>
    <t>Greenpower Oostende</t>
  </si>
  <si>
    <t>HERDERSBRUG GT1</t>
  </si>
  <si>
    <t>HERDERSBRUG GT2</t>
  </si>
  <si>
    <t>HERDERSBRUG ST</t>
  </si>
  <si>
    <t>INEOS</t>
  </si>
  <si>
    <t>INESCO GT1</t>
  </si>
  <si>
    <t>CCGT-CHP</t>
  </si>
  <si>
    <t>INESCO GT2</t>
  </si>
  <si>
    <t>INESCO ST</t>
  </si>
  <si>
    <t>INTRADEL</t>
  </si>
  <si>
    <t>Intradel Herstal IS</t>
  </si>
  <si>
    <t>IPALLE</t>
  </si>
  <si>
    <t>Ipalle Thumaide</t>
  </si>
  <si>
    <t>ISVAG</t>
  </si>
  <si>
    <t>IVBO</t>
  </si>
  <si>
    <t>IZEGEM</t>
  </si>
  <si>
    <t>Inovyn</t>
  </si>
  <si>
    <t>Jemeppe-sur-Sambre GT1</t>
  </si>
  <si>
    <t>Jemeppe-sur-Sambre GT2</t>
  </si>
  <si>
    <t>Jemeppe-sur-Sambre ST</t>
  </si>
  <si>
    <t>Lillo Energy</t>
  </si>
  <si>
    <t>Lillo Degussa GT1</t>
  </si>
  <si>
    <t>Lillo Degussa GT2</t>
  </si>
  <si>
    <t>Lillo Degussa ST</t>
  </si>
  <si>
    <t>Direct Energie</t>
  </si>
  <si>
    <t>Marcinelle Energie TGV</t>
  </si>
  <si>
    <t>Monsanto Lillo WKK EBL</t>
  </si>
  <si>
    <t>NOORDSCHOTE TJ</t>
  </si>
  <si>
    <t>Oorderen Bayer</t>
  </si>
  <si>
    <t>RODENHUIZE 4</t>
  </si>
  <si>
    <t>As of 24.02.23 Rodenhuize 4 will be used as a backup unit to Zelzate Knippegroen for burning steel gas when Zelz is unavailable - https://umm.nordpoolgroup.com/#/messages/73aa666e-c3ff-4224-a1e5-6ad751abf122/1</t>
  </si>
  <si>
    <t>SAINT-GHISLAIN STEG</t>
  </si>
  <si>
    <t>Capacity updated from 350 to 378 MW - https://www.elia.be/-/media/project/elia/elia-site/public-consultations/2022/20220620_engie---non-confidential-parts.pdf</t>
  </si>
  <si>
    <t>Sappi Lanaken GT</t>
  </si>
  <si>
    <t>SCHAERBEEK SIOMAB ST1</t>
  </si>
  <si>
    <t>SCHAERBEEK SIOMAB ST2</t>
  </si>
  <si>
    <t>SCHAERBEEK SIOMAB ST3</t>
  </si>
  <si>
    <t>EXXONMOBIL</t>
  </si>
  <si>
    <t>Scheldelaan Exxonmobil</t>
  </si>
  <si>
    <t>STORA</t>
  </si>
  <si>
    <t>STORA LANGERBRUGGE WKK1</t>
  </si>
  <si>
    <t>STORA LANGERBRUGGE WKK2</t>
  </si>
  <si>
    <t>Syral Aalst GT</t>
  </si>
  <si>
    <t>Syral Aalst ST</t>
  </si>
  <si>
    <t>TAMINCO</t>
  </si>
  <si>
    <t>TAMINCO Gent WKK</t>
  </si>
  <si>
    <t>TIHANGE 1N</t>
  </si>
  <si>
    <t>Decommissioning: 01/10/2025 - https://economie.fgov.be/fr/themes/energie/sources-denergie/nucleaire/base-legale-de-la-sortie-du</t>
  </si>
  <si>
    <t>TIHANGE 1S</t>
  </si>
  <si>
    <t>TIHANGE 2</t>
  </si>
  <si>
    <t>Decommissioning: 01/02/2023 - https://economie.fgov.be/fr/themes/energie/sources-denergie/nucleaire/base-legale-de-la-sortie-du</t>
  </si>
  <si>
    <t>TIHANGE 3</t>
  </si>
  <si>
    <t>T-Power</t>
  </si>
  <si>
    <t>TURBOJET VOLTA</t>
  </si>
  <si>
    <t>Art. 4bis - Decommissioning date: 26/08/2023 - https://economie.fgov.be/sites/default/files/Files/Energy/22-54-EBL-FOD-N-Mahieu-fermeture-TJ-VOLTA-Art4-%20GHS-signed.pdf</t>
  </si>
  <si>
    <t>Vilvoorde GT</t>
  </si>
  <si>
    <t>Art. 4bis - Decommissioning date: 31/10/2025 - https://economie.fgov.be/sites/default/files/Files/Energy/21-34-EBL-SPF-mise-a-l-arret-definitive-central-de-Vilvoorde.pdf</t>
  </si>
  <si>
    <t>Vilvoorde ST</t>
  </si>
  <si>
    <t>Based on REMIT information</t>
  </si>
  <si>
    <t>TOTAL</t>
  </si>
  <si>
    <t>Wilmarsdonk Total GT1</t>
  </si>
  <si>
    <t>Wilmarsdonk Total GT2</t>
  </si>
  <si>
    <t>Wilmarsdonk Total GT3</t>
  </si>
  <si>
    <t>Zandvliet Power NV</t>
  </si>
  <si>
    <t>Zandvliet Power</t>
  </si>
  <si>
    <t>Zedelgem TJ</t>
  </si>
  <si>
    <t>Zeebrugge TJ</t>
  </si>
  <si>
    <t>Zelzate 2 Knippegroen</t>
  </si>
  <si>
    <t>Zelzate TJ</t>
  </si>
  <si>
    <t>Zwijndrecht Lanxess GT</t>
  </si>
  <si>
    <t>Zwijndrecht Lanxess ST</t>
  </si>
  <si>
    <t>Legend Unit-Type</t>
  </si>
  <si>
    <t>Combined Cycle</t>
  </si>
  <si>
    <t>Combined Cycle - Gas Turbine</t>
  </si>
  <si>
    <t>Combined Cycle - Steam Turbine</t>
  </si>
  <si>
    <t>Classic</t>
  </si>
  <si>
    <t>Gas Turbine</t>
  </si>
  <si>
    <t>ST</t>
  </si>
  <si>
    <t>Steam Turbine</t>
  </si>
  <si>
    <t>Incineration Station</t>
  </si>
  <si>
    <t>TurboJet</t>
  </si>
  <si>
    <t>Cogeneration Unit</t>
  </si>
  <si>
    <t>1.2. Evolution of renewable energy sources and non-CIPU thermal units</t>
  </si>
  <si>
    <t>Generation capacity at the end of the mentioned year [MW]</t>
  </si>
  <si>
    <t>Generation type</t>
  </si>
  <si>
    <t>Wind</t>
  </si>
  <si>
    <t>Wind onshore</t>
  </si>
  <si>
    <t>Wind offshore</t>
  </si>
  <si>
    <t>Photovoltaics</t>
  </si>
  <si>
    <t>Hydro RoR</t>
  </si>
  <si>
    <t>Gas CHP - non-CIPU</t>
  </si>
  <si>
    <t>Turbines</t>
  </si>
  <si>
    <t>Motors</t>
  </si>
  <si>
    <t>Biomass - non-CIPU</t>
  </si>
  <si>
    <t>Waste - non-CIPU</t>
  </si>
  <si>
    <t>See below for more information on the assumptions behind the projection of each category.</t>
  </si>
  <si>
    <r>
      <rPr>
        <u/>
        <sz val="14"/>
        <color theme="1"/>
        <rFont val="Calibri"/>
        <family val="2"/>
        <scheme val="minor"/>
      </rPr>
      <t>Assumptions</t>
    </r>
    <r>
      <rPr>
        <sz val="14"/>
        <color theme="1"/>
        <rFont val="Calibri"/>
        <family val="2"/>
        <scheme val="minor"/>
      </rPr>
      <t xml:space="preserve">
The demand for PV has exploded in 2022. An important jump in capacity is expected for 2022. 
The high demand for PV has also lead to important delays in supply chain and installation. Therefore, not all the expected capacity will be installed in 2022. A yearly increase of 1000 MW per year is also assumed for 2023 and 2024.
After 2024, changes in policies in Wallonia could slower down the rate and electricity might have decreased. 
However, with electricity prices that might stay higher than before and with lot of roofs still to cover (incl. social housing, public buildings, etc.), a still important installation rate in assumed (800 MW/year).
</t>
    </r>
  </si>
  <si>
    <t>Historic (IEA)</t>
  </si>
  <si>
    <t>NECP2019_WAM</t>
  </si>
  <si>
    <t>AdFlex21</t>
  </si>
  <si>
    <t>FF55_EUMIX</t>
  </si>
  <si>
    <t>Solar_Outlook</t>
  </si>
  <si>
    <t>AdFlex23</t>
  </si>
  <si>
    <r>
      <rPr>
        <u/>
        <sz val="14"/>
        <color theme="1"/>
        <rFont val="Calibri"/>
        <family val="2"/>
        <scheme val="minor"/>
      </rPr>
      <t>Assumptions</t>
    </r>
    <r>
      <rPr>
        <sz val="14"/>
        <color theme="1"/>
        <rFont val="Calibri"/>
        <family val="2"/>
        <scheme val="minor"/>
      </rPr>
      <t xml:space="preserve">
In Flanders, the yearly increase has recently been updated from 108 MW to 150 MW for 2022 and 2023 [VEKA], while keeping 2500 MW as target for 2030. 
In Wallonia, around 70-100 MW is assumed each year from 2022 to 2026 [SPW], with extra potential capacity (400 MW on 4 years) that could come on top of it.
In Wallonia, the “pax eolienica” will aim to facilitate the installation of onshore wind, which will positively influence the yearly increase.
The estimated 2030 target of the EU-MIX scenario published by the European Commission is proposed as reference for 2030.</t>
    </r>
  </si>
  <si>
    <r>
      <rPr>
        <u/>
        <sz val="14"/>
        <color theme="1"/>
        <rFont val="Calibri"/>
        <family val="2"/>
        <scheme val="minor"/>
      </rPr>
      <t>Assumptions</t>
    </r>
    <r>
      <rPr>
        <sz val="14"/>
        <color theme="1"/>
        <rFont val="Calibri"/>
        <family val="2"/>
        <scheme val="minor"/>
      </rPr>
      <t xml:space="preserve">
Lastest official planning of MOG 2 is considered (cf. SPF Economie website).
It is considered that 700 MW of additonal wind offshore would be connected to the Elia grid by end 2028.
The rest of the MOG 2 offshore wind farm (in total 3500 MW) is assumed to be connected by end 2030.
This assumes that Nautilus and Boucle du Hainaut are realised on time.</t>
    </r>
  </si>
  <si>
    <t xml:space="preserve">Hydro RoR </t>
  </si>
  <si>
    <r>
      <rPr>
        <u/>
        <sz val="14"/>
        <color theme="1"/>
        <rFont val="Calibri"/>
        <family val="2"/>
        <scheme val="minor"/>
      </rPr>
      <t>Assumptions</t>
    </r>
    <r>
      <rPr>
        <sz val="14"/>
        <color theme="1"/>
        <rFont val="Calibri"/>
        <family val="2"/>
        <scheme val="minor"/>
      </rPr>
      <t xml:space="preserve">
Belgium has limited capacity in terms of run-of-river hydro-electricity.Those consist of small hydro units (installed along rivers) with the ‘biggest’ ones on the river Meuse. The actual NECP predicts that there will be a small increase with 151 MW in 2030. An interpolation towards this 2030 target is considered, followed by an extrapolation up to 2034.</t>
    </r>
  </si>
  <si>
    <t>Hydro ROR</t>
  </si>
  <si>
    <t>Biomass, Waste, CHP non-CIPU</t>
  </si>
  <si>
    <r>
      <rPr>
        <u/>
        <sz val="14"/>
        <color theme="1"/>
        <rFont val="Calibri"/>
        <family val="2"/>
        <scheme val="minor"/>
      </rPr>
      <t>Assumptions</t>
    </r>
    <r>
      <rPr>
        <sz val="14"/>
        <color theme="1"/>
        <rFont val="Calibri"/>
        <family val="2"/>
        <scheme val="minor"/>
      </rPr>
      <t xml:space="preserve">
In this category, thermal units without CIPU contract (Coordinating Injection of Production Units) are considered. Those are usually smaller decentralised production units, usually connected to the distribution grid (DSO). A database covering those projects is maintained by Elia and updated on monthly basis by exchanges with DSO and grid users. This also includes new projects that are being developped.
</t>
    </r>
    <r>
      <rPr>
        <u/>
        <sz val="14"/>
        <color theme="1"/>
        <rFont val="Calibri"/>
        <family val="2"/>
        <scheme val="minor"/>
      </rPr>
      <t>Biomass &amp; waste:</t>
    </r>
    <r>
      <rPr>
        <sz val="14"/>
        <color theme="1"/>
        <rFont val="Calibri"/>
        <family val="2"/>
        <scheme val="minor"/>
      </rPr>
      <t xml:space="preserve"> The existing capacity is considered constant, with around 20 MW of new projects in biomass. No further increase is considered, since there is no more subsidies for biomass in Flanders. 
</t>
    </r>
    <r>
      <rPr>
        <u/>
        <sz val="14"/>
        <color theme="1"/>
        <rFont val="Calibri"/>
        <family val="2"/>
        <scheme val="minor"/>
      </rPr>
      <t>CHP</t>
    </r>
    <r>
      <rPr>
        <sz val="14"/>
        <color theme="1"/>
        <rFont val="Calibri"/>
        <family val="2"/>
        <scheme val="minor"/>
      </rPr>
      <t>: The existing capacity is considered, together with around 100 MW of new CHP project. Note that most CHP are located in Flanders where many will have no more subsidies after 2026, but they can still participate to CRM auctions. Note also that the business case of CHP might be positively influenced by high electricity prices since CHP are also earning gains from the electricity market.</t>
    </r>
  </si>
  <si>
    <t xml:space="preserve">2.1. Total electricity consumption </t>
  </si>
  <si>
    <t xml:space="preserve">The total electricity demand for Belgium is based on the tool developped by Climact and used in the previous Adequacy &amp; Flexibility study (2021), where the methodology used is described in the following report: </t>
  </si>
  <si>
    <t xml:space="preserve">https://www.elia.be/-/media/project/elia/elia-site/public-consultations/2020/20200603_total-electricity-demand-forecasting_en.pdf </t>
  </si>
  <si>
    <r>
      <t>It includes the forecasted total</t>
    </r>
    <r>
      <rPr>
        <b/>
        <sz val="11"/>
        <color theme="1"/>
        <rFont val="Calibri"/>
        <family val="2"/>
        <scheme val="minor"/>
      </rPr>
      <t xml:space="preserve"> electricity demand</t>
    </r>
    <r>
      <rPr>
        <sz val="11"/>
        <color theme="1"/>
        <rFont val="Calibri"/>
        <family val="2"/>
        <scheme val="minor"/>
      </rPr>
      <t xml:space="preserve"> which is build up based on several elements:</t>
    </r>
  </si>
  <si>
    <t>1) It includes the impact of macro-economic forecasts based on the report published by the Federal Plan Bureau:</t>
  </si>
  <si>
    <t>Bureau fédéral du Plan - Publication - Perspectives économiques 2022-2027 – Version de juin 2022</t>
  </si>
  <si>
    <t>2) It includes the trends in terms of electrification of transport &amp; heating</t>
  </si>
  <si>
    <t>cfr. Section 2.1.1 &amp; 2.1.2</t>
  </si>
  <si>
    <t>3) it includes the impact of high prices as presented in the WG Adequacy on 25/08/2022</t>
  </si>
  <si>
    <r>
      <t>This forecast does not include additional electricity demand which might occur</t>
    </r>
    <r>
      <rPr>
        <b/>
        <sz val="11"/>
        <color theme="1"/>
        <rFont val="Calibri"/>
        <family val="2"/>
        <scheme val="minor"/>
      </rPr>
      <t xml:space="preserve"> in the industrial sector and/or the growth of new industries</t>
    </r>
    <r>
      <rPr>
        <sz val="11"/>
        <color theme="1"/>
        <rFont val="Calibri"/>
        <family val="2"/>
        <scheme val="minor"/>
      </rPr>
      <t xml:space="preserve"> (mainly data centers)</t>
    </r>
  </si>
  <si>
    <t>A range is proposed to capture this additional electrification</t>
  </si>
  <si>
    <t>cfr. Section 2.1.3</t>
  </si>
  <si>
    <t>Additional industrial demand &amp; data center range</t>
  </si>
  <si>
    <t>TWh</t>
  </si>
  <si>
    <t>Year</t>
  </si>
  <si>
    <t>Historical normalised  total demand</t>
  </si>
  <si>
    <t>Organic total demand</t>
  </si>
  <si>
    <t>Total Demand incl. EV &amp; HP</t>
  </si>
  <si>
    <t>Min Range</t>
  </si>
  <si>
    <t>Max Range</t>
  </si>
  <si>
    <t>Best Estimate</t>
  </si>
  <si>
    <t>Min Range increase</t>
  </si>
  <si>
    <t>Max Range increase</t>
  </si>
  <si>
    <t>historical</t>
  </si>
  <si>
    <t>2.1.1. Electrification of the transport sector</t>
  </si>
  <si>
    <t>Passenger cars</t>
  </si>
  <si>
    <t>Value</t>
  </si>
  <si>
    <t>Source</t>
  </si>
  <si>
    <t>Key Drivers</t>
  </si>
  <si>
    <t>Usage (km/year)</t>
  </si>
  <si>
    <t>14 600</t>
  </si>
  <si>
    <t>Febiac: total km/#units</t>
  </si>
  <si>
    <t>Passenger car sales continue the trend of 2020-2022 with reduced sales mainly in the private car segment (1)</t>
  </si>
  <si>
    <t>Efficiency (kWh/100km) - BEV</t>
  </si>
  <si>
    <t>Several sources</t>
  </si>
  <si>
    <t>All regions reach 100% BEV car sales by 2035 due to EU-wide ban on new ICE (2)</t>
  </si>
  <si>
    <t>Efficiency (kWh/100km) - PHEV</t>
  </si>
  <si>
    <t>Company cars: 100% BEV sales in all regions by 2029 due to federal fiscal measures &amp; BXL LEZ (3)(5)</t>
  </si>
  <si>
    <t>Sales - company (thousand units/y)</t>
  </si>
  <si>
    <t>Febiac 2020-2021</t>
  </si>
  <si>
    <t>FL: region reaches 100% BEV sales by 2029 for private cars (4)</t>
  </si>
  <si>
    <t>Sales - private (thousand units/y)</t>
  </si>
  <si>
    <t>BXL: no more gasoline &amp; diesel respectively 2030, 2035 due to LEZ (5)</t>
  </si>
  <si>
    <t>Sources used</t>
  </si>
  <si>
    <t>BE</t>
  </si>
  <si>
    <t>(1) Datadigest 2021 (febiac.be)</t>
  </si>
  <si>
    <t>EU</t>
  </si>
  <si>
    <t>(2) Fit for 55: MEPs back objective of zero emissions for cars and vans in 2035 | News | European Parliament (europa.eu)</t>
  </si>
  <si>
    <t>(3) Minister Van Peteghem maakt van bedrijfswagens en laadpalen de hefbomen naar een groener wagenpark | Vincent Van Peteghem (belgium.be)</t>
  </si>
  <si>
    <t>FL</t>
  </si>
  <si>
    <t>(4) VR 2021 0511 DOC.1237-1 Visienota VEKP Bijkomende maatregelen.pdf (energiesparen.be)</t>
  </si>
  <si>
    <r>
      <rPr>
        <i/>
        <sz val="11"/>
        <color rgb="FF394D55"/>
        <rFont val="Calibri"/>
        <family val="2"/>
        <scheme val="minor"/>
      </rPr>
      <t xml:space="preserve">“B.2 </t>
    </r>
    <r>
      <rPr>
        <sz val="11"/>
        <color rgb="FF394D55"/>
        <rFont val="Calibri"/>
        <family val="2"/>
        <scheme val="minor"/>
      </rPr>
      <t xml:space="preserve">Uitfasering aankoop fossiele verbrandingsmotoren </t>
    </r>
    <r>
      <rPr>
        <i/>
        <sz val="11"/>
        <color rgb="FF394D55"/>
        <rFont val="Calibri"/>
        <family val="2"/>
        <scheme val="minor"/>
      </rPr>
      <t>”</t>
    </r>
  </si>
  <si>
    <t>BXL</t>
  </si>
  <si>
    <t>(5) Praktisch pagina | Low Emission Zone (lez.brussels)</t>
  </si>
  <si>
    <t>Million units</t>
  </si>
  <si>
    <t>BEV</t>
  </si>
  <si>
    <t>PHEV</t>
  </si>
  <si>
    <t>Equivalent Units (PHEV counted as 1/2)</t>
  </si>
  <si>
    <t>equivalent % of stock</t>
  </si>
  <si>
    <t>LDV freight (Vans)</t>
  </si>
  <si>
    <t>16 500</t>
  </si>
  <si>
    <t>Sales slightly below historical 10y average (+/- 65k/y) (1)</t>
  </si>
  <si>
    <t>Electrification of Vans follows the passenger car segment, but with a delayed uptake.</t>
  </si>
  <si>
    <t>Main driver being the ICE ban also applicable for vans from 2035, sucht that 100% BEV sales are reached in 2035 (2)</t>
  </si>
  <si>
    <t>Sales (thousand units/y)</t>
  </si>
  <si>
    <t>Febiac 10y avg &amp; slightly reduced</t>
  </si>
  <si>
    <t xml:space="preserve">(1) Datadigest 2021 (febiac.be) </t>
  </si>
  <si>
    <t>thousands units</t>
  </si>
  <si>
    <t>HDV freight (Trucks)</t>
  </si>
  <si>
    <t>55 000</t>
  </si>
  <si>
    <t>Sales slightly below historical 10y average (+/-9k/y)</t>
  </si>
  <si>
    <t>Efficiency (kWh/100km)</t>
  </si>
  <si>
    <t>Very conservative assumptions on electrication with delayed uptake of BEV sales reaching 7% in 2030 and 20% in 2035 (1)</t>
  </si>
  <si>
    <t>Febiac estimates ~ 20% market share for e-trucks in 2030 (based on bilateral meetring Elia-FEBIAC)</t>
  </si>
  <si>
    <t>Electric mobility: TRATON GROUP boosts investment | TRATON</t>
  </si>
  <si>
    <t>Mercedes-Benz All eActros LongHaul: In Pictures | Trucks.cardekho.com</t>
  </si>
  <si>
    <t>The future of electromobility | Volvo Trucks</t>
  </si>
  <si>
    <t>VR 2021 0511 DOC.1237-1 Visienota VEKP Bijkomende maatregelen.pdf (energiesparen.be)</t>
  </si>
  <si>
    <t>“C.7 Aanmoediging emissievrij vrachtvervoer door gunstig belastingsregime”</t>
  </si>
  <si>
    <t>“C.9 Versnelde transitie naar zero-emissie vrachtvervoer over de weg”</t>
  </si>
  <si>
    <t xml:space="preserve">Busses </t>
  </si>
  <si>
    <t>45 000</t>
  </si>
  <si>
    <t>Pledges &amp; ambitions by public bus companies are the key driver for this segment</t>
  </si>
  <si>
    <t>FL: De Lijn to reach 100% BEV by 2035</t>
  </si>
  <si>
    <t>BXL: MIVB to reach 100% BEV by 2030</t>
  </si>
  <si>
    <t>E-bussen: De Lijn gaat volop voor groen - De Lijn</t>
  </si>
  <si>
    <t>100% elektrische busvloot tegen 2030 - Pascal Smet</t>
  </si>
  <si>
    <t>2.1.2. Electrification of the heating sector</t>
  </si>
  <si>
    <t>Residential</t>
  </si>
  <si>
    <t>New buildings (thousands dwelling/y)</t>
  </si>
  <si>
    <t>Statbel: avg last 5 years</t>
  </si>
  <si>
    <t>Business as usual in the evolution of new buildings (1)</t>
  </si>
  <si>
    <t>Renovation rate avg 2022-2035</t>
  </si>
  <si>
    <t xml:space="preserve">assumption </t>
  </si>
  <si>
    <t>Renovations increasing from 0.7% (1) towards 1.3% in 2035</t>
  </si>
  <si>
    <t>Average Heating demand - new build (kWh/y)</t>
  </si>
  <si>
    <t>Fluvius</t>
  </si>
  <si>
    <t>FL: no more gas connections from 2025: 96% HP, 4% District heating (2)</t>
  </si>
  <si>
    <t>Average Heating demand - renovated building (kWh/y)</t>
  </si>
  <si>
    <t>Average dwelling consumption &amp; 25% renovation reduction</t>
  </si>
  <si>
    <t>Other regions: 100% HP/DH in new built from 2035</t>
  </si>
  <si>
    <t xml:space="preserve">Average Hot water demand </t>
  </si>
  <si>
    <t>Renovations &amp; end-of-lifetime boiler replacement: 15% , 20% HP by 2030, 2035</t>
  </si>
  <si>
    <t>Bouwvergunningen | Statbel (fgov.be) (1)</t>
  </si>
  <si>
    <t>Verplichting elektrische warmtepomp bij nieuwbouw vervroegd naar 2025 - Ode (2)</t>
  </si>
  <si>
    <t>Current sales &amp; stock</t>
  </si>
  <si>
    <t>ATTB, FRIXIS, Delta-EE, EHPA, Statista, EurObserv'ER, Fluvius</t>
  </si>
  <si>
    <t>VEKA: https://apps.energiesparen.be/energiekaart/vlaanderen/warmtepompen-aantal rapp-2021-18.pdf (vreg.be) </t>
  </si>
  <si>
    <t>WL</t>
  </si>
  <si>
    <r>
      <t>bilan-domestique-et-equivalents-2019-v2.pdf (wallonie.be</t>
    </r>
    <r>
      <rPr>
        <u/>
        <sz val="11"/>
        <color rgb="FF394D55"/>
        <rFont val="Calibri"/>
        <family val="2"/>
        <scheme val="minor"/>
      </rPr>
      <t>)</t>
    </r>
    <r>
      <rPr>
        <sz val="11"/>
        <color rgb="FF394D55"/>
        <rFont val="Calibri"/>
        <family val="2"/>
        <scheme val="minor"/>
      </rPr>
      <t xml:space="preserve"> p29</t>
    </r>
  </si>
  <si>
    <t>AA HP</t>
  </si>
  <si>
    <t>AW HP</t>
  </si>
  <si>
    <t>GW HP</t>
  </si>
  <si>
    <t>HP as secondary 
heat*</t>
  </si>
  <si>
    <t>Total</t>
  </si>
  <si>
    <t>* Included in this category are Air-Air reversible heat pumps which have seen a sharp increase in recent years. These units are typically installed as an AC (cooling) unit but also have the capability to deliver heat, albeit in general limited to a part of the building and/or as a secondary form of heating</t>
  </si>
  <si>
    <t>After consultation with ATTB, FRIXIS and contacts within the heat pump sector, it was decided to categorise these A-A (reversible) units for 80% in the hybrid category as they will have different characteristics when it comes to yearly and hourly electricity demand</t>
  </si>
  <si>
    <t>Tertiary</t>
  </si>
  <si>
    <t>New buildings (thousands buildings/y)</t>
  </si>
  <si>
    <t>Average building consumption &amp; 50% new built reduction</t>
  </si>
  <si>
    <t>In general: faster uptake of Heat pumps as compared to residential sector</t>
  </si>
  <si>
    <t>Average building consumption &amp; 25% renovation reduction</t>
  </si>
  <si>
    <t>Double the amount of residential</t>
  </si>
  <si>
    <t>Renovations: 100% HP by 2030</t>
  </si>
  <si>
    <t>End-of-lifetime boiler replacement: 25% , 35% HP by 2030, 2035</t>
  </si>
  <si>
    <t>ATTB, FRIXIS, Delta-EE, EHPA, Statista, EurObserv'ER</t>
  </si>
  <si>
    <t>Verplichtingen voor niet-residentiële gebouwen | Vlaanderen.be</t>
  </si>
  <si>
    <t>2.1.3. Additional electrification in industry &amp; data centers</t>
  </si>
  <si>
    <t>Elia will publish a viewpoint specifically industry, logistics and data centers on 18/11/2022</t>
  </si>
  <si>
    <t>This study will include quantified trajectories for industrial demand up to 2050 as well as intermediate values for 2030 &amp; 2040</t>
  </si>
  <si>
    <t>The forecast for 2030 is based on real-life observed requests from Elia-connected clients and in depth consultation with different industrial companies, sectoral organisations and researchers</t>
  </si>
  <si>
    <t>These connection requests do not all translate into real-life projects, therefore a range is proposed where:</t>
  </si>
  <si>
    <t>The lower range represents electricity demand increase due to projects that have been confirmed</t>
  </si>
  <si>
    <t>The higher range represents electricity demand increase due to projects that have been confirmed + requests which are net yet completely certain</t>
  </si>
  <si>
    <t>Flexibility</t>
  </si>
  <si>
    <t>It must be noted that a significant share of this additional electricity demand is focused on the electrification of heat (electric steam boiler, industrial heat pumps, electric ovens…) &amp; other types of flexible demand</t>
  </si>
  <si>
    <t>Therefore, not all of this demand will result in additional peak demand and will likely be able to deliver flexibility services</t>
  </si>
  <si>
    <t>Additional electrification in industry</t>
  </si>
  <si>
    <t>Range</t>
  </si>
  <si>
    <t>Industry - Low</t>
  </si>
  <si>
    <t>Industry - High</t>
  </si>
  <si>
    <t>*This excludes additional electricity demand from electrolyzers &amp; other PtX processes</t>
  </si>
  <si>
    <t>Additional electrification due to data centers</t>
  </si>
  <si>
    <t>The viewpoint to be published on 18/11/2022 will also include trajectories for data centers</t>
  </si>
  <si>
    <t>The forecast for 2030 is based on real-life observed requests from Elia-connected clients and in depth consultation with different market parties</t>
  </si>
  <si>
    <t>Data Center - Low</t>
  </si>
  <si>
    <t>Data Center - High</t>
  </si>
  <si>
    <t>3.1 Pumped-storage, large scale storage and small scale home storage</t>
  </si>
  <si>
    <t>In this section, pumped-storage, large scale batteries and small scale storage (home batteries) assumptions are detailed</t>
  </si>
  <si>
    <t>3.1.1 Pumped-storage</t>
  </si>
  <si>
    <t>The current installed capacity of 1224 MW pumped-storage in Belgium (1080 MW in Coo 1-6 and 144 MW in Plate Taille 1-4) was considered for 2022. Then, the reservoir volume has been increased by end 2023 thanks to extension work in Coo (increasing the volume from 5213 to 5600 MWh). The turbining capacity in Coo is also expected to increase, with the installation of new turbines in the coming years (from 1080 MW to 1161 MW end 2025).
Pumped-storage units are typically also used to provide ancillary services. Accordingly, in order to account for the provision of 'black start' services, the total storage capacity available for economic dispatch in this analysis was decreased by 500 MWh.</t>
  </si>
  <si>
    <t>Turbining capacity at the end of the mentioned year [MW]</t>
  </si>
  <si>
    <t>Turbining capacity</t>
  </si>
  <si>
    <t>Total capacity</t>
  </si>
  <si>
    <t>Coo 1-6</t>
  </si>
  <si>
    <t>Platte Taille 1-4</t>
  </si>
  <si>
    <t>Reservoir volume at the end of the mentioned year [MWh]</t>
  </si>
  <si>
    <t>Reservoir volume</t>
  </si>
  <si>
    <t>Available storage for economic dispatch</t>
  </si>
  <si>
    <t>Storage reservoir</t>
  </si>
  <si>
    <t xml:space="preserve">Storage reservoir derating (black-start services) </t>
  </si>
  <si>
    <t>3.1.2. Large scale batteries</t>
  </si>
  <si>
    <r>
      <t>Large scale batteries are assumed to participate to the electricity market (</t>
    </r>
    <r>
      <rPr>
        <b/>
        <sz val="10"/>
        <color rgb="FF000000"/>
        <rFont val="Arial"/>
        <family val="2"/>
      </rPr>
      <t>'in-the-market'</t>
    </r>
    <r>
      <rPr>
        <sz val="10"/>
        <color rgb="FF000000"/>
        <rFont val="Arial"/>
        <family val="2"/>
      </rPr>
      <t xml:space="preserve">). Those 'in-the-market' batteries are traded in day-ahead and intraday markets. In-the-market batteries shall be modelled similarly to pumped-hydro storage and shall be subject to the following constraints: maximum power, maximum energy storage, state of charge, charging/discharging efficiency.
The capacity considered is based on total existing capacity as kown by Elia. This is the only capacity that will be there 'anyhow' in the near future. The corresponding volume is calulating assuming a duration of 2 hours for 30% of the capacity and 4 hours for 70% of the capacity.
On top of this existing capacity, an additional potential capacity could come based on projects known today at Elia. These projects will be considered in the scenario if it is proven that they are economically viable without support mechanism. This will be determined via the Economic Viability Assessment. 
</t>
    </r>
  </si>
  <si>
    <t>Capacity and volume of large scale storage at the end of the mentioned year [MW] or [MWh]</t>
  </si>
  <si>
    <t>Today</t>
  </si>
  <si>
    <t>Total potential capacity [MW]</t>
  </si>
  <si>
    <t>Capacity [MW]</t>
  </si>
  <si>
    <t>Exisiting capacity</t>
  </si>
  <si>
    <t>Additional potential if economically viable</t>
  </si>
  <si>
    <t>Total potential volume [MWh]</t>
  </si>
  <si>
    <t>Volume [MWh]</t>
  </si>
  <si>
    <t>Existing volume</t>
  </si>
  <si>
    <t>Reservoir volume [MWh]</t>
  </si>
  <si>
    <t>3.1.3. Small scale home batteries</t>
  </si>
  <si>
    <t>Small scale home batteries are assumed to be managed behind the meter and are considered for this reason in the "out-of-market" category. The way they are managed is part of the study performed by DELTA-EE on future residential and tertiary flexibility (this study is also submitted to consultation).
The projection assumes battery of 4.5 kW in average with a duration of 2 hours in average (9 kWh). The projections are based on the following reasonning:
- Since 2019, subsidies/bonus for home batterie have been put in place in Flanders. Around 19,000 premium were asked in 2021 in Flanders for home batteries.
- The bonus in Flanders foresees a decreasing amount until 2024 (stop in 2025), for maximum 9 kWh: from maximum 2550 EUR in 2021 to maximum 425 EUR in 2024 (amount reviewed each year). Therefore, it is assumed that the number of home batteries in Flanders will continue to increase as in 2020/2021 until 2024, followed by a slower growth rate after that. No other incentive is assumed.
- The installation of home batteries is mainly driven by the installation of PV. In 2021, it seems that 2% the PV installations in Flanders have added a battery capacity of the size of the PV installation, compared to 0,13% in Wallonia. This number is assumed to decrease up to 0,2 % in Flanders after 2024 and the end of the bonus.</t>
  </si>
  <si>
    <t>Capacity and volume of storage at the end of the mentioned year[MW] or [MWh]</t>
  </si>
  <si>
    <t>3.2. Demand Side Response in industry</t>
  </si>
  <si>
    <t>In this section, demand-side response in industry is detailed</t>
  </si>
  <si>
    <t>Demand Side Response volume per year</t>
  </si>
  <si>
    <t>Potential capacity at the end of the mentioned year [MW]</t>
  </si>
  <si>
    <t>Total potential shedding capacity*</t>
  </si>
  <si>
    <t>Existing DSR</t>
  </si>
  <si>
    <t>New potential DSR submitted to EVA - 25€/kW</t>
  </si>
  <si>
    <t>New potential DSR submitted to EVA - 50€/kW</t>
  </si>
  <si>
    <t>New potential DSR submitted to EVA - 75€/kW</t>
  </si>
  <si>
    <t>New potential DSR submitted to EVA - 100€/kW</t>
  </si>
  <si>
    <t>Existing DSR - Details in shedding capacity</t>
  </si>
  <si>
    <t>Max use of 1 hour</t>
  </si>
  <si>
    <t>Max use of 2 hours</t>
  </si>
  <si>
    <t>Max use of 4 hours*</t>
  </si>
  <si>
    <t>Max use of 8 hours</t>
  </si>
  <si>
    <t>No limit</t>
  </si>
  <si>
    <t>* The  volume for ancillary services is included in the "max use of 4 hours" category</t>
  </si>
  <si>
    <t>3.3. Demand-Side Response residential and tertiary</t>
  </si>
  <si>
    <t>1. Smart metering technologies &amp; charge points penetration</t>
  </si>
  <si>
    <t>Connected technologies</t>
  </si>
  <si>
    <t>Smart Meters</t>
  </si>
  <si>
    <t>Belgium</t>
  </si>
  <si>
    <t>Flanders</t>
  </si>
  <si>
    <t>Wallonia</t>
  </si>
  <si>
    <t>Brussels</t>
  </si>
  <si>
    <t>Smart thermostats</t>
  </si>
  <si>
    <t>Home Energy Management Systems</t>
  </si>
  <si>
    <t>Residential Chargepoints</t>
  </si>
  <si>
    <t>Total Home Charge points</t>
  </si>
  <si>
    <t>Basic ('dumb' chargers)</t>
  </si>
  <si>
    <t>Smart Chargers</t>
  </si>
  <si>
    <t>Bi-directional chargers</t>
  </si>
  <si>
    <t>2. Flexibility options &amp; forecasts</t>
  </si>
  <si>
    <r>
      <rPr>
        <b/>
        <sz val="16"/>
        <color theme="1"/>
        <rFont val="Calibri"/>
        <family val="2"/>
        <scheme val="minor"/>
      </rPr>
      <t>DISCLAIMERS:</t>
    </r>
    <r>
      <rPr>
        <sz val="16"/>
        <color theme="1"/>
        <rFont val="Calibri"/>
        <family val="2"/>
        <scheme val="minor"/>
      </rPr>
      <t xml:space="preserve">
- This represents a best estimate based on current known policies. Other policies could improve the flexibility available (Other tariffs, market arrangements, etc…)
- The numbers represent a maximum achievable penetration (with current known policies).
- Categories are not exclusive. A vehicle able to do V2M, could in theory be able to do V1H, or V2H. </t>
    </r>
  </si>
  <si>
    <t>Maximum achievable % for each charging type</t>
  </si>
  <si>
    <t>Electric Vehicles - Residential</t>
  </si>
  <si>
    <t>Natural charging - V0</t>
  </si>
  <si>
    <t>Local smart charging - V1H</t>
  </si>
  <si>
    <t>Market smart charging - V1M</t>
  </si>
  <si>
    <t>Bi-direcitonal local demand response - V2H</t>
  </si>
  <si>
    <t>Bi-direcitonal market demand response - V2M</t>
  </si>
  <si>
    <t>Heat Pumps - Residential</t>
  </si>
  <si>
    <t>Natural load - HP0</t>
  </si>
  <si>
    <t>Local smart load - HP1H</t>
  </si>
  <si>
    <t>Market smart load - HP1M</t>
  </si>
  <si>
    <t>3. Flex profiles (average winter) with assumptions</t>
  </si>
  <si>
    <r>
      <rPr>
        <b/>
        <sz val="16"/>
        <color theme="1"/>
        <rFont val="Calibri"/>
        <family val="2"/>
        <scheme val="minor"/>
      </rPr>
      <t>DISCLAIMERS:</t>
    </r>
    <r>
      <rPr>
        <sz val="16"/>
        <color theme="1"/>
        <rFont val="Calibri"/>
        <family val="2"/>
        <scheme val="minor"/>
      </rPr>
      <t xml:space="preserve">
- HP &amp; EV profiles displayed are for residential
- HP profiles are based on an average winter weekday as theses are the most representative for flexibility. Week-end &amp; summer profile would be different.</t>
    </r>
  </si>
  <si>
    <t>[kW]</t>
  </si>
  <si>
    <t>Electric Vehicles</t>
  </si>
  <si>
    <t>The V1M will be a mixture of V0 &amp; V1H based on optimizer solution - for each day of the simulation</t>
  </si>
  <si>
    <t>The V2M will be a mixture of V0 &amp; V2H based on optimizer solution - for each day of the simulation</t>
  </si>
  <si>
    <t>ASHP &amp; GSHP - residential profile</t>
  </si>
  <si>
    <t>Local smart load - hot water - HP1H</t>
  </si>
  <si>
    <t>Local smart load - hot water &amp; space heating - HP1H</t>
  </si>
  <si>
    <t>The HP1M will be a mixture of HP0 &amp; HP1H based on optimizer solution - for each day of the simulation</t>
  </si>
  <si>
    <t>4. Assumptions &amp; sources</t>
  </si>
  <si>
    <t>Section</t>
  </si>
  <si>
    <t>Description</t>
  </si>
  <si>
    <t>Known data points:</t>
  </si>
  <si>
    <t xml:space="preserve">30,000 units installed in Brussels over previous 4 years. </t>
  </si>
  <si>
    <t xml:space="preserve">Brussels is installing around 40,000 units per year this year. </t>
  </si>
  <si>
    <t xml:space="preserve">Wallonia hopes to install 90,000 units by the end of year. </t>
  </si>
  <si>
    <t>Wallonia predicted to install 1M smart meters by this year. In addition, by the end of 2029, the objective is to equip 80% of users with an annual consumption equal to or greater than 6,000 kWh, those with an electricity production capacity greater than or equal to 5kWe and electric vehicle charging points open to the public with smart meters.</t>
  </si>
  <si>
    <t>Flanders have already installed 1,200,000 units.</t>
  </si>
  <si>
    <t>Flanders will install smart meters in 80%.</t>
  </si>
  <si>
    <r>
      <rPr>
        <b/>
        <sz val="11"/>
        <color rgb="FF000000"/>
        <rFont val="Arial"/>
        <family val="2"/>
      </rPr>
      <t>2029</t>
    </r>
    <r>
      <rPr>
        <sz val="11"/>
        <color rgb="FF000000"/>
        <rFont val="Arial"/>
        <family val="2"/>
      </rPr>
      <t xml:space="preserve">: Flanders will install smart meters in 100% of their building stock. </t>
    </r>
  </si>
  <si>
    <t>Assumptions to fill in the forecast</t>
  </si>
  <si>
    <t>Cumulative smart meter rollout was initially done for each of the three regions separately based on the known data points and Belgium building stock.</t>
  </si>
  <si>
    <t>The number of installs for years in between the known data points were estimated based on gradual equal increase.</t>
  </si>
  <si>
    <t>Since Brussels is installing around 40,000 units per year in 2023, it would take approximately until 2036 for Brussels to reach 100%. Assumed this will rise to 50,000 per year from 2024.</t>
  </si>
  <si>
    <t xml:space="preserve">Flanders will install 100% smart meters by 2029 therefore there no/very small increase expected after. </t>
  </si>
  <si>
    <t>The same annual increase has been assumed for Wallonia between 2030 and 2035.</t>
  </si>
  <si>
    <t>Based on historical sales data and projection of annual sales growth - with annual sales growing by 5-10%/year until 2026, then dropping to 2-3% per year as market saturation grows and replacements increase</t>
  </si>
  <si>
    <t>Based on historical sales data and projection of annual sales growth - steady growth through to 2030, rapid increase 2031-2035 based on increase of solar PV, batteries/Evs and multi asset  homes</t>
  </si>
  <si>
    <t>Home chargepoints</t>
  </si>
  <si>
    <t>Home charger number estimated on basis of typical numbers of chargers per electric vehicle installed.  This profile is generated through market research across Europe</t>
  </si>
  <si>
    <t>Source:</t>
  </si>
  <si>
    <t>Ratio of plug in hybrid vehicles to Home Chargepoints</t>
  </si>
  <si>
    <t>Delta-EE EV Charging Service market research</t>
  </si>
  <si>
    <t>% of new Smart Charge Points</t>
  </si>
  <si>
    <t>Assumption</t>
  </si>
  <si>
    <t>% of Smart Chargers:</t>
  </si>
  <si>
    <t>Current Delta-EE customer research across Europe provide evidence that current penetration of smart chargers is 40-60% in most countries, we have selected 49% for Belgium due to the high penetration of PHEV. Due to combination of rising energy costs, increase in BEV sales and reduced cost of smart chargers we forecast high % of smart charger sales from 90-99% from 2022 to 2026.</t>
  </si>
  <si>
    <t>“dumb” charger Replacements:</t>
  </si>
  <si>
    <t>We expect existing and new “dumb” chargers will slowly be replaced with smart chargers.  We assume chargers over 4 years old will be replaced.</t>
  </si>
  <si>
    <t>The forecast of potential flexibility for each technology is based on the 4 barriers - Availability of appropriate controls signals, Control capability, appropriate metering and customer impacts</t>
  </si>
  <si>
    <t>Overview</t>
  </si>
  <si>
    <t>Technology type</t>
  </si>
  <si>
    <t>Code</t>
  </si>
  <si>
    <t>Control Signals</t>
  </si>
  <si>
    <t>Control Capability</t>
  </si>
  <si>
    <t>Appropriate Metering</t>
  </si>
  <si>
    <t>Customer participation barriers</t>
  </si>
  <si>
    <t>Electric Vehicle</t>
  </si>
  <si>
    <t>V1H</t>
  </si>
  <si>
    <t>Smart charging - implicit flexibility</t>
  </si>
  <si>
    <t>Static &amp; Dynamic time of use tariffs, capacity tariffs, PV optimisation</t>
  </si>
  <si>
    <t>Smart Charger</t>
  </si>
  <si>
    <t>Smart Meter</t>
  </si>
  <si>
    <t>Perception of loss of control, offering perception/clarity</t>
  </si>
  <si>
    <t>V1M</t>
  </si>
  <si>
    <t>Smart charging - implicit &amp; explicit flexibilty</t>
  </si>
  <si>
    <t>Ancillary services, Interval balancing, trading, DSO services</t>
  </si>
  <si>
    <t>Perception of loss of control, vehicle plug in duration, offering perception/clarity</t>
  </si>
  <si>
    <t>V2H</t>
  </si>
  <si>
    <t>Bi-directional smart charging - implicit flexibility</t>
  </si>
  <si>
    <t>Bi-directional smart charger and suitable BEV</t>
  </si>
  <si>
    <t>Investment costs, perception of loss of control, vehicle plug in duration, offering perception/clarity</t>
  </si>
  <si>
    <t>V2M</t>
  </si>
  <si>
    <t>Bi-directional smart charging - implicity &amp; explicit flexibility</t>
  </si>
  <si>
    <t>Heating Technology</t>
  </si>
  <si>
    <t>H1H</t>
  </si>
  <si>
    <t>Flexible operation - implicit flexibility</t>
  </si>
  <si>
    <t>Smart HP or HEM or smart thermostat</t>
  </si>
  <si>
    <t>Impact on comfort(dependant on flex type/asset)</t>
  </si>
  <si>
    <t>H1M</t>
  </si>
  <si>
    <t>Flexible operation - implicit &amp; explict flexibility</t>
  </si>
  <si>
    <t>Smart HP or HEM</t>
  </si>
  <si>
    <t>Impact on comfort(dependant on flex type/asset), offering perception and clarify, perception of loss of control</t>
  </si>
  <si>
    <t>Control signal availability</t>
  </si>
  <si>
    <t>Disclaimer - behind the meter demand side flexbility is just emerging across Europe, forecasts are made on the subject to market reforms enabling and accelerating companies ability to develop offerings and generate market signals. In particular for explicit flexibilty, that has a higher degree of complexity to deliver virtual power though demand side response.</t>
  </si>
  <si>
    <t>Comments:</t>
  </si>
  <si>
    <t>Time Frame</t>
  </si>
  <si>
    <t>Implicit Flexibility</t>
  </si>
  <si>
    <t>Static time of use tariffs are already widely available and in use in Belgium and introduction of capacity tariffs and dynamic tariffs means there is no barrier to optimisation of self-consumption based on the signal availbility for either EVs or heating</t>
  </si>
  <si>
    <t>2020+ Onwards</t>
  </si>
  <si>
    <t>Explicit Flexibility</t>
  </si>
  <si>
    <t>While ancillary services are open for residential flexibility, slow smart meter roll-out has hindered residential flexibility, hence Delta-EE is aware of only one company trialling explicity flexibility in 2021.  As smart meter penetration rises in 2023/2024 we expect to see widespread offerings starting with EVs in 2023 and more widespread from 2024 onwards, in combination with market reforms streamlining access to different services.</t>
  </si>
  <si>
    <t>EV -2023 onwards
HP - 2024 onwards</t>
  </si>
  <si>
    <t>Control capability</t>
  </si>
  <si>
    <t>Distribution of existing smart chargers:</t>
  </si>
  <si>
    <t>While PHEVs out number BEVs, we expect more smart chargers will be bought by BEV owners, due the increased benefits of charging – existing smart charger stock is assumed to be 50:50 BEV:PHEV.</t>
  </si>
  <si>
    <t>As smart meter rollout has been driven rapidly by policy, rather than by customers and asset ownership, we assume no correlation between assets and smart meters.</t>
  </si>
  <si>
    <t>Customer barriers are designed to represent the soft barrier on uptake of new technologies for customer, based on the relatively impact and complexity of the potential offerings limiting the potential uptake.</t>
  </si>
  <si>
    <t>Electric vehicles - Maximum uptake for customers of technical potential [%]</t>
  </si>
  <si>
    <t>V1H Maximum Uptake</t>
  </si>
  <si>
    <t>V1M Uptake</t>
  </si>
  <si>
    <t>V2M Uptake of new sales</t>
  </si>
  <si>
    <t xml:space="preserve">Maximum V1H smart uptake </t>
  </si>
  <si>
    <t>There are no existing barriers for smart charging – time of use tariffs are already available and new drivers, such as capacity tariffs and dynamic tariffs will increase the value.  From Delta's customer research, only around 60% of EV drivers are on a tariff where the price is lower at certain times of the day (e.g. Late night / early morning). The other 40% of drivers will purchase a smart chargepoint to take advantage of the tax incentive currently available and to future proof their charging needs, but may not be engaged enough to switch tariff. Smart chargepoints offer other features that may attract users, such as remote control functionality, so some drivers may purchase the units for this feature only. Over time this will increase as drivers become more aware of the advantages of having an EV or time of use tariff.</t>
  </si>
  <si>
    <t>Maximum % of smart BEV - V1M</t>
  </si>
  <si>
    <t>For EVs to play into balancing or grid services with smart charging, there are no extra pieces of equipment or technology that needs to be adopted(apart from smart charger and smart meter already available from V1H). Market conditions and appropriate stakeholders are the only barriers to EV participation in these services. We expect to see companies such as Tibber, NextKraftwerke or ev.energy noticing the potential in Belgium from the rapid increase in Evs over the next couple of years and starting to develop appropriate customer propositions by late next year. There is a big push from the EU to unlock residential demand side flexibility to increase the consumption of renewables and make grid balancing cheaper. This will encourage the companies named above to start utilising EV assets in their portfolio in Belgium.</t>
  </si>
  <si>
    <t>V2M - uptake of new sales</t>
  </si>
  <si>
    <t>With the finalisation of the ISO15118-20 standard earlier this year (2022), bidirectional charging is making progress to becoming more commercial. It is expected to take 2-3 years for vehicle and chargepoint OEMs to fully adopt the standard by around 2025. From this point we expect to see V2H applications increasing consumer awareness in bidirectional charging but it may take another 2-3 years for customer propositions involving V2G to be fully commercial. There are some market barriers to V2G participation such as the need to be a BRP or minimum bid sizes which have the potential to hold back the business case. However, the EU is pushing for residential flexibility to be unlocked as part of its Clean Energy Package.</t>
  </si>
  <si>
    <t>Heating Techologies</t>
  </si>
  <si>
    <t>For heating technologies, the customer barriers are the customer impact and offering complexity.  Customer impact is dependant on the heating technology and the type of flexibility provided and the offering complexity depends on the business model. The relative impact has been scored and grade with explanations below.</t>
  </si>
  <si>
    <t>Flexibility options / enablers</t>
  </si>
  <si>
    <t>Customer Impact</t>
  </si>
  <si>
    <t>Maximum uptake for customers of technical potential [%]</t>
  </si>
  <si>
    <t>Explanation</t>
  </si>
  <si>
    <t>ASHP - Water only</t>
  </si>
  <si>
    <t>V. Low</t>
  </si>
  <si>
    <t>For a relatively high value asset, this small change can provide significant flexibility and reduce costs</t>
  </si>
  <si>
    <t>ASHP - Water &amp; space</t>
  </si>
  <si>
    <t>High</t>
  </si>
  <si>
    <t>Flexing space heating requires more compromises for customers, allowing a wider range of internal house temperatures which will reduce uptake.</t>
  </si>
  <si>
    <t>GSHP - Water only</t>
  </si>
  <si>
    <t>Low</t>
  </si>
  <si>
    <t>Similar to ASHP, but as GSHP is more efficient there is lower value in providing flexibility as overall costs are lower</t>
  </si>
  <si>
    <t>GSHP - Water &amp; space</t>
  </si>
  <si>
    <t>v. high</t>
  </si>
  <si>
    <t>Similar to ASHP, but as GSHP efficiency is less affected by temperature the benefits of flexing during the winter are lower.</t>
  </si>
  <si>
    <t>Offering complexity</t>
  </si>
  <si>
    <t>HP1H - Capacity or ToU tariff</t>
  </si>
  <si>
    <t>While it has low customer impact to optimise self-consumption according to tariffs, some resistance and disinterest is likely.</t>
  </si>
  <si>
    <t>HP1M - grid services</t>
  </si>
  <si>
    <t>The offering for grid services and potential loss of asset control can be difficult for some customers to understand and it harder to quantify the customer benefit, therefore we would expect uptake to be significantly lower.</t>
  </si>
  <si>
    <t>Installed capacity at the end of the mentioned year [MW]</t>
  </si>
  <si>
    <t>Electrolysers</t>
  </si>
  <si>
    <t>150 MW by 2026, according to "Vision and strategy Hydrogen, Update October 2022" from FPS Economy</t>
  </si>
  <si>
    <t>https://economie.fgov.be/sites/default/files/Files/Energy/View-strategy-hydrogen.pdf</t>
  </si>
  <si>
    <t>A Flemish Hydrogen Strategy 2025-2030 (07/12/2020)</t>
  </si>
  <si>
    <t>https://www.waterstofnet.eu/_asset/_public/WIC/2020-12-7-Flemish-Hydrogen-Strategy_Hydrogen-Industry-Cluster.pdf</t>
  </si>
  <si>
    <t>Task Force Scenarios (Elia, 21/01/2022) for long-term view</t>
  </si>
  <si>
    <t>https://www.elia.be/-/media/project/elia/elia-site/public-consultations/2022/20211115_20220124_final-scenario-report.pdf</t>
  </si>
  <si>
    <r>
      <t>4.1. Fuel and CO</t>
    </r>
    <r>
      <rPr>
        <sz val="12"/>
        <color theme="1"/>
        <rFont val="Calibri"/>
        <family val="2"/>
        <scheme val="minor"/>
      </rPr>
      <t>2</t>
    </r>
    <r>
      <rPr>
        <sz val="18"/>
        <color theme="1"/>
        <rFont val="Calibri"/>
        <family val="2"/>
        <scheme val="minor"/>
      </rPr>
      <t xml:space="preserve"> prices</t>
    </r>
  </si>
  <si>
    <r>
      <t>Fuel and CO</t>
    </r>
    <r>
      <rPr>
        <b/>
        <sz val="9"/>
        <color theme="1"/>
        <rFont val="Calibri"/>
        <family val="2"/>
        <scheme val="minor"/>
      </rPr>
      <t>2</t>
    </r>
    <r>
      <rPr>
        <b/>
        <sz val="12"/>
        <color theme="1"/>
        <rFont val="Calibri"/>
        <family val="2"/>
        <scheme val="minor"/>
      </rPr>
      <t xml:space="preserve"> prices per year</t>
    </r>
  </si>
  <si>
    <t>The methodology applied to establish the prices between 2024 &amp; 2034 is the following:
- Average for the year 2022 has been established based on historical data (see the relevant source)
- For Natural Gas, Coal &amp; Oil, forward prices from contract were taken for the years before 2025 included on the 27/10/2022 (see the relevant source)
- For the rest of the data, an interpolation was carried out between last computed price &amp; the price forecasted by the WEO2022 in 2030. The scenario chosen is "Announced Pledges".
- After 2030, a simple interpolation is carried out between the WEO2022 forecast of 2030 &amp; 2050.
- WEO21 prices being expressed in EUR21, an inflation rate of 10% was applied (https://ec.europa.eu/eurostat/documents/2995521/14698140/2-30092022-AP-EN.pdf/727d4958-dd57-de9f-9965-99562e1286bf)
Note a split has been done between UK &amp; the rest of the EU for Natural Gas &amp; CO2.</t>
  </si>
  <si>
    <t xml:space="preserve">Price in [€2022] </t>
  </si>
  <si>
    <t>Years</t>
  </si>
  <si>
    <t>AREA</t>
  </si>
  <si>
    <t>Historical average</t>
  </si>
  <si>
    <t>Forward</t>
  </si>
  <si>
    <t>Long term</t>
  </si>
  <si>
    <t>Historical average (2022)</t>
  </si>
  <si>
    <t>Forward (up to 2025)</t>
  </si>
  <si>
    <t>Long term (until 2035)</t>
  </si>
  <si>
    <t>Gas TTF [€/MWh]</t>
  </si>
  <si>
    <t>Ice Endex TTF GAS (elexys.be)</t>
  </si>
  <si>
    <t>World Energy Outlook 2022 – Analysis - IEA</t>
  </si>
  <si>
    <t>EU except UK</t>
  </si>
  <si>
    <t>Consulted on the 27/10/2022</t>
  </si>
  <si>
    <t>Announced Pledges scenario taken from WEO</t>
  </si>
  <si>
    <t>Gas NBP [€/MWh]</t>
  </si>
  <si>
    <t>UK NBP Natural Gas Calendar Month Futures Quotes - CME Group</t>
  </si>
  <si>
    <t>UK</t>
  </si>
  <si>
    <t>Coal ARA [€/MWh]</t>
  </si>
  <si>
    <t>Coal (API2) CIF ARA (ARGUS-McCloskey) Futures Quotes - CME Group</t>
  </si>
  <si>
    <t>Oil [€/MWh]</t>
  </si>
  <si>
    <t>Crude Oil Overview - CME Group</t>
  </si>
  <si>
    <t>CO2 EUA [€/tCO2]</t>
  </si>
  <si>
    <t>EUA Futures | ICE (theice.com)</t>
  </si>
  <si>
    <t>PLATTS</t>
  </si>
  <si>
    <t>CO2 UKA [€/tCO2]</t>
  </si>
  <si>
    <t>Carbon pricing | Ember (ember-climate.org)</t>
  </si>
  <si>
    <t>Legend:</t>
  </si>
  <si>
    <t>Methodology:</t>
  </si>
  <si>
    <t>Forward prices</t>
  </si>
  <si>
    <t>Historical average (for the year 2022)</t>
  </si>
  <si>
    <t>WEO prices</t>
  </si>
  <si>
    <t>Interpolation to WEO prices</t>
  </si>
  <si>
    <t>Prices defined by forward contracts, as displayed on relevant source, consulted in October (27/10).</t>
  </si>
  <si>
    <t>Interpolation between last forward price known &amp; long-term price defined in WEO2022 for 2030 and 2050.</t>
  </si>
  <si>
    <t xml:space="preserve"> </t>
  </si>
  <si>
    <t>3.2. Economic assumptions</t>
  </si>
  <si>
    <t>All prices are assumed to be in €2022 (taking into account the latest possible inflation figures up to 10/10/2022)</t>
  </si>
  <si>
    <t>The CAPEX &amp; FOM figures have been updated based on the previous Adequacy &amp; Flexibility study (2021) which included costs expressed in €2019</t>
  </si>
  <si>
    <t>Additionally, a large amount of sources has been consulted (see below in 'Sources'). Given the wide range found for several technologies, feel free to provide us with other values and sources if deemed relevant.</t>
  </si>
  <si>
    <t>A range around those values could be used for sensitivities if deemed relevant.</t>
  </si>
  <si>
    <t>Latest finlation figures taken into account since the publication of previous Adequacy &amp; Flexibility study (2021) which included costs expressed in €2019:</t>
  </si>
  <si>
    <t>2022*</t>
  </si>
  <si>
    <t>General Inflation</t>
  </si>
  <si>
    <t>Historische inflatie België – historische CPI inflatie België (inflation.eu)</t>
  </si>
  <si>
    <t>*10/2021-10/2022</t>
  </si>
  <si>
    <t>Industrial PPI</t>
  </si>
  <si>
    <t>Output price index (industry) | Statbel (fgov.be)</t>
  </si>
  <si>
    <t>*01/2022-08/2022</t>
  </si>
  <si>
    <t>Labour cost (Electricity, gas, steam and air conditioning supply (D) )</t>
  </si>
  <si>
    <t>Labour Cost Index | Statbel (fgov.be)</t>
  </si>
  <si>
    <t>*01/2022-07/2022</t>
  </si>
  <si>
    <r>
      <t xml:space="preserve">The industry wide real </t>
    </r>
    <r>
      <rPr>
        <b/>
        <i/>
        <sz val="11"/>
        <color theme="1"/>
        <rFont val="Calibri"/>
        <family val="2"/>
        <scheme val="minor"/>
      </rPr>
      <t>WACC proposed for this study is 4.9%</t>
    </r>
    <r>
      <rPr>
        <i/>
        <sz val="11"/>
        <color theme="1"/>
        <rFont val="Calibri"/>
        <family val="2"/>
        <scheme val="minor"/>
      </rPr>
      <t>. In addition, as specified in the Economic viability metric methodology (see the other documents of the public consultation), a technology specific hurdle premium will be added to obtain the hurdle rate per technology.</t>
    </r>
  </si>
  <si>
    <t>All figures in EUR 2022</t>
  </si>
  <si>
    <t>Technologies part of the structural block</t>
  </si>
  <si>
    <t>Applies to</t>
  </si>
  <si>
    <t>CAPEX [€/kW]</t>
  </si>
  <si>
    <t>FOM (including major overhauls) [€/kW/y]</t>
  </si>
  <si>
    <t>Investment economic lifetime [years]</t>
  </si>
  <si>
    <t>Hurdle rate in EOM (WACC + premium)</t>
  </si>
  <si>
    <t>2022-2025</t>
  </si>
  <si>
    <t>2026-2030</t>
  </si>
  <si>
    <t>2031-2035</t>
  </si>
  <si>
    <t>AdFlex 2021 (EUR 19)</t>
  </si>
  <si>
    <t>2022-2035</t>
  </si>
  <si>
    <t>Source CAPEX</t>
  </si>
  <si>
    <t>Source
FOM</t>
  </si>
  <si>
    <t>Existing (assumed no extension costs)</t>
  </si>
  <si>
    <t>Existing units &lt;25 years</t>
  </si>
  <si>
    <t>Afry 2022</t>
  </si>
  <si>
    <t>OCGT</t>
  </si>
  <si>
    <t>All existing capacity</t>
  </si>
  <si>
    <t>AdeqFlex (2021) + Inflation</t>
  </si>
  <si>
    <t>Turbojets</t>
  </si>
  <si>
    <t>Demand Response</t>
  </si>
  <si>
    <t>All existing capacity in 2020</t>
  </si>
  <si>
    <t>8.9-9.6%*</t>
  </si>
  <si>
    <t>*depending on activation costs</t>
  </si>
  <si>
    <t>Pumped Storage</t>
  </si>
  <si>
    <t>Existing (assuming extension costs needed)</t>
  </si>
  <si>
    <t>Existing units &gt;25 years</t>
  </si>
  <si>
    <t>AdeqFlex value (2021) X (Weighted avg Labour + Industrial PPI) (~Afry 2022)</t>
  </si>
  <si>
    <t>New</t>
  </si>
  <si>
    <t>Diesels</t>
  </si>
  <si>
    <t>New capacity</t>
  </si>
  <si>
    <t>Gas engines</t>
  </si>
  <si>
    <t>&gt;800 MW</t>
  </si>
  <si>
    <t>400 &lt; 800 MW</t>
  </si>
  <si>
    <t>&lt; 400 MW</t>
  </si>
  <si>
    <t>&gt;100 MW</t>
  </si>
  <si>
    <t>&lt;100 MW</t>
  </si>
  <si>
    <t>Several Sources + Inflation</t>
  </si>
  <si>
    <t>Demand response</t>
  </si>
  <si>
    <t>New capacity 0 &lt; 300 MW</t>
  </si>
  <si>
    <t>All costs included in the FOM</t>
  </si>
  <si>
    <t>DSM sources (see below)</t>
  </si>
  <si>
    <t>New capacity 300 &lt; 600 MW</t>
  </si>
  <si>
    <t>New capacity 600 &lt; 900 MW</t>
  </si>
  <si>
    <t>New capacity 900 &lt; 1200 MW</t>
  </si>
  <si>
    <t>Batteries/Storage</t>
  </si>
  <si>
    <t>Large scale batteries (1h)</t>
  </si>
  <si>
    <t>Public Consultation CRM</t>
  </si>
  <si>
    <t>Large scale batteries (2h)</t>
  </si>
  <si>
    <t>NA</t>
  </si>
  <si>
    <t>Large scale batteries (4h)</t>
  </si>
  <si>
    <t>Pumped Storage - new unit</t>
  </si>
  <si>
    <t>New unit in Coo</t>
  </si>
  <si>
    <t>Renewables</t>
  </si>
  <si>
    <t>RES</t>
  </si>
  <si>
    <t>Indexation + benchmark with several sources incl. IRENA (2021), IEA (2021), EnergyVille (2022)</t>
  </si>
  <si>
    <t>Indexation + EnergyVille</t>
  </si>
  <si>
    <t>New (after 2 GW)</t>
  </si>
  <si>
    <t>PV</t>
  </si>
  <si>
    <t>AdeqFlex (2021) + indexation</t>
  </si>
  <si>
    <t>Batteries: sources</t>
  </si>
  <si>
    <t>https://www.elia.be/en/public-consultation/20220506_public-consultation-on-crm</t>
  </si>
  <si>
    <t>Cost Projections for Utility-Scale Battery Storage: 2021 Update (nrel.gov)</t>
  </si>
  <si>
    <t>DSM: sources</t>
  </si>
  <si>
    <t>https://www.ademe.fr/sites/default/files/assets/documents/effacement-consommation-electrique-france_2017-synthese.pdf</t>
  </si>
  <si>
    <t>https://www.cre.fr/content/download/21610/275050</t>
  </si>
  <si>
    <t>New Sources used</t>
  </si>
  <si>
    <t>AFRY - peer review study presented to the TF CRM on 13/10/2022</t>
  </si>
  <si>
    <t>PATHS2050 | Energy outlook (energyville.be)</t>
  </si>
  <si>
    <t>Lazard.com | Levelized Cost Of Energy, Levelized Cost Of Storage, and Levelized Cost Of Hydrogen</t>
  </si>
  <si>
    <t>World Energy Outlook 2022 (windows.net)</t>
  </si>
  <si>
    <t>Renewable power generation costs in 2021 (irena.org)</t>
  </si>
  <si>
    <t>EN2021_Fraunhofer-ISE_LCOE_Renewable_Energy_Technologies.pdf</t>
  </si>
  <si>
    <t>Sources used in Previous AdeqFlex (2021) &amp; indexed for comparison</t>
  </si>
  <si>
    <t>Bloomberg (not public)</t>
  </si>
  <si>
    <t>https://www.elia.be/-/media/project/elia/elia-site/public-consultations/2020/20200505_fichtner-report-cost-of-capacity-crm_en.pdf</t>
  </si>
  <si>
    <t>https://setis.ec.europa.eu/system/files/ETRI_2014.pdf</t>
  </si>
  <si>
    <t>https://ec.europa.eu/energy/sites/ener/files/documents/2018_06_27_technology_pathways_-_finalreportmain2.pdf</t>
  </si>
  <si>
    <t>https://economie.fgov.be/sites/default/files/Files/Energy/Seuils-investissements-CREG-Feedback-PwC-20200207.pdf</t>
  </si>
  <si>
    <t>https://www.rtbf.be/info/regions/liege/detail_un-troisieme-bassin-a-coo-ou-le-retour-d-une-arlesienne?id=9383349</t>
  </si>
  <si>
    <t>https://www.semcommittee.com/sites/semc/files/media-files/SEM-18-156a%20Poyry%20Report%20-%20Cost%20of%20New%20Entrant%20Peaking%20Plant%20and%20Combined%20Cycle%20Plant%20in%20I-SEM.pdf</t>
  </si>
  <si>
    <t>https://www.energyville.be/sites/energyville/files/downloads/2020/20200918_fullpresentation_0.pdf</t>
  </si>
  <si>
    <t>Cost of life-time extension of Seraing (Trends Tendance article 27/08/14) with inflation</t>
  </si>
  <si>
    <t>4.3.1. Forced outage rates</t>
  </si>
  <si>
    <t xml:space="preserve">Details around the calculation method can be found in the outage study report in annex of the public consultation report. </t>
  </si>
  <si>
    <t>Category</t>
  </si>
  <si>
    <t>Number of FO per year</t>
  </si>
  <si>
    <t>Average FO rate [%]</t>
  </si>
  <si>
    <t>Average duration of FO rate [hours]</t>
  </si>
  <si>
    <t>1.3*</t>
  </si>
  <si>
    <t>4.0%* - 20.5%**</t>
  </si>
  <si>
    <t xml:space="preserve">199 hours* [around 8 days] </t>
  </si>
  <si>
    <t>110 hours [ around 5 days]</t>
  </si>
  <si>
    <t>221 hours [around 9 days]</t>
  </si>
  <si>
    <t>130 hours [around5 days]</t>
  </si>
  <si>
    <t>CHP, waste, biomass</t>
  </si>
  <si>
    <t>111 hours [around 5 days]</t>
  </si>
  <si>
    <t>179 hours [around 7 days]</t>
  </si>
  <si>
    <t>DC links</t>
  </si>
  <si>
    <t>158 hours [around 7 days]</t>
  </si>
  <si>
    <t>4.3.2. Planned outages</t>
  </si>
  <si>
    <t>The latest public information (REMIT) regarding the planned outages will be used</t>
  </si>
  <si>
    <t xml:space="preserve">For years were no data are available in REMIT, the data from ENTSO-E will be used : https://www.entsoe.eu/outlooks/midterm/ </t>
  </si>
  <si>
    <t>Parameters</t>
  </si>
  <si>
    <t xml:space="preserve">Maximum upward flexibility </t>
  </si>
  <si>
    <t xml:space="preserve">Maximim downward flexibility </t>
  </si>
  <si>
    <t>Energy Limit</t>
  </si>
  <si>
    <t>Clarification, justifications and remarks</t>
  </si>
  <si>
    <t>Parameter</t>
  </si>
  <si>
    <t xml:space="preserve">Minimum up time </t>
  </si>
  <si>
    <t>Minimum down time</t>
  </si>
  <si>
    <t>Hot start up time</t>
  </si>
  <si>
    <t>Warm start up time</t>
  </si>
  <si>
    <t>Cold start up time</t>
  </si>
  <si>
    <t>Transition time from "hot" to "warm"</t>
  </si>
  <si>
    <t>Transition time from "warm" to "cold"</t>
  </si>
  <si>
    <t>Min Stable power</t>
  </si>
  <si>
    <t>Ramp Rate</t>
  </si>
  <si>
    <t xml:space="preserve">Ramping flexibility limit </t>
  </si>
  <si>
    <t xml:space="preserve">Fast flexibility limit </t>
  </si>
  <si>
    <t>Slow flexibility limit</t>
  </si>
  <si>
    <t>Definition</t>
  </si>
  <si>
    <t>Duration that a unit needs to remain in "on" status after the start of an activation</t>
  </si>
  <si>
    <t>Duration that a unit needs to remain in "off" status after the end of an activation</t>
  </si>
  <si>
    <t>Duration between the activation signal and attaining minimum stable power in "hot", "warm" or "cold" conditions</t>
  </si>
  <si>
    <t>Duration that a unit goes from "hot" to "warm" status after the end of an activation</t>
  </si>
  <si>
    <t>Duration that a unit goes from "warm" to "cold" status after the end of an activation</t>
  </si>
  <si>
    <t>Minimum power output level when in "on" status</t>
  </si>
  <si>
    <t>Minimum power variation in a time period</t>
  </si>
  <si>
    <t>Maximum share of the installed capacity which can participate in the categories upward ramping, fast and slow flex (without accounting other constraints, e.g. ramp rate)</t>
  </si>
  <si>
    <t>Maximum share of the installed capacity which can participate in the categories downward ramping, fast and slow flex (without accounting other constraints, e.g. ramp rate)</t>
  </si>
  <si>
    <t xml:space="preserve">expressed in number of hours during which the plant can product at its maximum capacity </t>
  </si>
  <si>
    <t>Unit</t>
  </si>
  <si>
    <t>hours</t>
  </si>
  <si>
    <t>% Pmax</t>
  </si>
  <si>
    <t>%Pmax/min</t>
  </si>
  <si>
    <t>%Pmax</t>
  </si>
  <si>
    <t>Interconnections (AC &amp; DC)</t>
  </si>
  <si>
    <t>ATC import -Pnom import</t>
  </si>
  <si>
    <t>ATC export - Pnom export</t>
  </si>
  <si>
    <t>Cross-border flexibility is constrained by the remaining  import / export capacity after the day-ahead schedules. Additional constraints are implemented following :</t>
  </si>
  <si>
    <t>*the availability of the cross-border energy service, particularly during  high (&gt; 300 €/MWh - reduced upward flexibility) / low price (&lt; 0 €/MWh - reduced downward flexibility) periods</t>
  </si>
  <si>
    <t>*estimations on balancing market liquidity on European balancing market platforms on aFRR and mFRR (by means of sensitivities)</t>
  </si>
  <si>
    <t xml:space="preserve">        *Ramping : 0 MW with sensitivity up to 75 MW, equal to 50 % aFRR needs</t>
  </si>
  <si>
    <t xml:space="preserve">        *Fast : 250 MW / 350 MW (= reserve sharing limits) with sensitivities equal to 50% mFRR needs</t>
  </si>
  <si>
    <t>Renewable Generation</t>
  </si>
  <si>
    <t xml:space="preserve">Wind offshore </t>
  </si>
  <si>
    <t>65%Pnom</t>
  </si>
  <si>
    <t xml:space="preserve">65% Pnom  </t>
  </si>
  <si>
    <t>65% Pom</t>
  </si>
  <si>
    <t>Based on literature [1] and  constrained based on day-ahead forecast errors (99th percentile of observed forecast errors).</t>
  </si>
  <si>
    <t>Ramping flexibility limited to 400 MW and 925 MW of the installed offshore fleet (based on an installed capacity of 4.4 GW ) based on input stakeholders.</t>
  </si>
  <si>
    <t xml:space="preserve">    *This equals a share before 2028 : *18% of installed capacity ; As from 2028: *21%  of installed capacity</t>
  </si>
  <si>
    <t>Wind onshore (only share CIPU)</t>
  </si>
  <si>
    <t>90% Pnom</t>
  </si>
  <si>
    <t>Based on literature [1] and further constrained based on day-ahead forecast errors (99th percentile of observed forecast errors).</t>
  </si>
  <si>
    <t>Solar (only share CIPU)</t>
  </si>
  <si>
    <t xml:space="preserve">Based on return on experience, and analysis of day-ahead forecast errors </t>
  </si>
  <si>
    <t>Run-of-River Hydro</t>
  </si>
  <si>
    <t>Biofuel (only share CIPU)</t>
  </si>
  <si>
    <t>8h</t>
  </si>
  <si>
    <t>3h</t>
  </si>
  <si>
    <t>5h</t>
  </si>
  <si>
    <t>7h</t>
  </si>
  <si>
    <t>12h</t>
  </si>
  <si>
    <t>72h</t>
  </si>
  <si>
    <t>Pnom-Pmin           (0% when "off")</t>
  </si>
  <si>
    <t xml:space="preserve">Based on literature [2] and CHP recent steam turbine values </t>
  </si>
  <si>
    <t>new</t>
  </si>
  <si>
    <t>2h</t>
  </si>
  <si>
    <t>1h</t>
  </si>
  <si>
    <t>1.5h</t>
  </si>
  <si>
    <t>48h</t>
  </si>
  <si>
    <t>Pmax-Pnom           (0% when "off")</t>
  </si>
  <si>
    <t>Pmax-Pnom                (0% when "off")</t>
  </si>
  <si>
    <t>Pmax-Pnom           (100% when "off")</t>
  </si>
  <si>
    <t>Based on literature [3] and [4]</t>
  </si>
  <si>
    <t>(to be commissioned)</t>
  </si>
  <si>
    <t>recent</t>
  </si>
  <si>
    <t>(commissioned after 2000)</t>
  </si>
  <si>
    <t>old</t>
  </si>
  <si>
    <t>2,5h</t>
  </si>
  <si>
    <t>4h</t>
  </si>
  <si>
    <t>(commissioned before 2000)</t>
  </si>
  <si>
    <t>0.16h</t>
  </si>
  <si>
    <t>existing</t>
  </si>
  <si>
    <t xml:space="preserve">CHP (GAS TURBINE) </t>
  </si>
  <si>
    <t>2 h</t>
  </si>
  <si>
    <t>3 h</t>
  </si>
  <si>
    <t xml:space="preserve">Pnom-Pmin           </t>
  </si>
  <si>
    <t xml:space="preserve">8 hours </t>
  </si>
  <si>
    <t>Based on literature [3] and CHP recent steam turbine values (+ [5] for energy limit) + input COGEN</t>
  </si>
  <si>
    <t>CHP (CCGT)</t>
  </si>
  <si>
    <t xml:space="preserve">Pmax-Pnom           </t>
  </si>
  <si>
    <t xml:space="preserve">Pmax-Pnom                </t>
  </si>
  <si>
    <t xml:space="preserve">Pmax-Pnom          </t>
  </si>
  <si>
    <t>Large-scale storage</t>
  </si>
  <si>
    <t>Pmax- Pnom          (0% when "off")</t>
  </si>
  <si>
    <t>Pmax - Pnom</t>
  </si>
  <si>
    <t>Pnom - Pmin</t>
  </si>
  <si>
    <t>4,5 hours</t>
  </si>
  <si>
    <t>Aggregation of PHS-sites. Based on literature review [6; 7] and Elia's internal information</t>
  </si>
  <si>
    <t>Large battery storage</t>
  </si>
  <si>
    <t>Pmax-Pnom</t>
  </si>
  <si>
    <t>1 hours</t>
  </si>
  <si>
    <t>All categories</t>
  </si>
  <si>
    <t>min (10% Pmax ;               Pmax - Pnom)</t>
  </si>
  <si>
    <t>min (40% Pmax ;               Pmax - Pnom)</t>
  </si>
  <si>
    <t>1, 2 , 4, 8  hours - no limit</t>
  </si>
  <si>
    <t>Based on E-Cube study and and Elia's estimation [9]</t>
  </si>
  <si>
    <t>New technologies</t>
  </si>
  <si>
    <t xml:space="preserve">1. Home batteries </t>
  </si>
  <si>
    <t>2 hours</t>
  </si>
  <si>
    <t>Based on literature review [9;10;11] and DELTA-EE study [14]
  *energy which can beactivated throughout the day (not in one stretch)</t>
  </si>
  <si>
    <t>2A. Heat Pumps - Sanitary Hot Water</t>
  </si>
  <si>
    <t>min(50% Pmax;Pmax-Pnom)</t>
  </si>
  <si>
    <t>min(70% Pmax;Pmax-Pnom)</t>
  </si>
  <si>
    <t>7 hours</t>
  </si>
  <si>
    <t>2B. Heat Pumps - Space Heating</t>
  </si>
  <si>
    <t>5 hours*</t>
  </si>
  <si>
    <t>3A V1M</t>
  </si>
  <si>
    <t>8 hours*</t>
  </si>
  <si>
    <t>3B. V2M</t>
  </si>
  <si>
    <t>3 hours</t>
  </si>
  <si>
    <t>Electrolyzers</t>
  </si>
  <si>
    <t>Pnom (0% when "off")</t>
  </si>
  <si>
    <t>Based on literature [12]</t>
  </si>
  <si>
    <t>Diesel + Turbojets</t>
  </si>
  <si>
    <t>0 h</t>
  </si>
  <si>
    <t>0.10 h</t>
  </si>
  <si>
    <t xml:space="preserve">0.05 h </t>
  </si>
  <si>
    <t>0.05 h</t>
  </si>
  <si>
    <t>Based on Internal Combustion Engines [13]</t>
  </si>
  <si>
    <t xml:space="preserve">Terminology </t>
  </si>
  <si>
    <t>Pmax</t>
  </si>
  <si>
    <t>Maximum injected power of the unit (MW)</t>
  </si>
  <si>
    <t>Pmax-</t>
  </si>
  <si>
    <t>Maximum absorbed power of the unit (MW), i.e. negative value</t>
  </si>
  <si>
    <t>Pnom</t>
  </si>
  <si>
    <t xml:space="preserve">Day-Ahead Scheduled power of the unit (MW), i.e. positive or negative value </t>
  </si>
  <si>
    <t>Pmin</t>
  </si>
  <si>
    <t>Minimum stable power (MW)</t>
  </si>
  <si>
    <t>ATCexport</t>
  </si>
  <si>
    <t>Maximum available export capacity (MW)</t>
  </si>
  <si>
    <t>ATCimport</t>
  </si>
  <si>
    <t>Maximum available import capacity (MW)</t>
  </si>
  <si>
    <t>ramping flex</t>
  </si>
  <si>
    <t>Capacity which can be regulated continuously up- or downward in a timeframe of one minute</t>
  </si>
  <si>
    <t>fast flex</t>
  </si>
  <si>
    <t>Capacity which can be regulated up- or downward in a time frame of 15 minutes</t>
  </si>
  <si>
    <t>slow flew</t>
  </si>
  <si>
    <t xml:space="preserve">Capacity which can be regulated up- or downward in a time frame of 5 hours  </t>
  </si>
  <si>
    <t>List of references</t>
  </si>
  <si>
    <t>Van de vyver et al.</t>
  </si>
  <si>
    <t>Comparison of wind turbine power control strategies to provide power reserves</t>
  </si>
  <si>
    <t>https://ieeexplore.ieee.org/abstract/document/7514034</t>
  </si>
  <si>
    <t>Dotzauer et al.</t>
  </si>
  <si>
    <t>How to measure flexibility – Performance indicators for demand driven power generation from biogas plants</t>
  </si>
  <si>
    <t>https://www.sciencedirect.com/science/article/pii/S0960148118312059#sec3</t>
  </si>
  <si>
    <t>ENTSO-E</t>
  </si>
  <si>
    <t>MAF Data</t>
  </si>
  <si>
    <t>https://www.entsoe.eu/Documents/SDC%20documents/MAF/MAF_2018_Dataset.xlsx</t>
  </si>
  <si>
    <t>Agora</t>
  </si>
  <si>
    <t>Flexibility in thermal power plants, with a focus on existing coal-fired power plants</t>
  </si>
  <si>
    <t>https://www.agora-energiewende.de/fileadmin2/Projekte/2017/Flexibility_in_thermal_plants/115_flexibility-report-WEB.pdf</t>
  </si>
  <si>
    <t>Danish Energy Agency</t>
  </si>
  <si>
    <t>Flexibility in the Power System - Danish and European experiences</t>
  </si>
  <si>
    <t>https://ens.dk/sites/ens.dk/files/Globalcooperation/flexibility_in_the_power_system_v23-lri.pdf</t>
  </si>
  <si>
    <t>Deloitte</t>
  </si>
  <si>
    <t>Assessing the economic conditions of Belgian pumped-hydroelectric storage: comparative review of profitability drivers in Europe and evaluation of the current situation</t>
  </si>
  <si>
    <t>https://www.creg.be/sites/default/files/assets/Consult/2018/1718/RA1718-Annex2.7.pdf</t>
  </si>
  <si>
    <t>e-Storage</t>
  </si>
  <si>
    <t>Potential, Economic and Environmental Value of Large-Scale Energy Storage in Europe</t>
  </si>
  <si>
    <t>http://www.estorage-project.eu/wp-content/uploads/2013/06/eStorage-D3.2-Value-of-storage.pdf</t>
  </si>
  <si>
    <t>E-Cube Strategy Consultants</t>
  </si>
  <si>
    <t>Market Response study 2017 – 2nd phase report</t>
  </si>
  <si>
    <t>https://www.elia.be/-/media/project/elia/elia-site/electricity-market-and-system---document-library/adequacy---strategic-reserve/2018/20170712_e-cube_market-response_report_phase2.pdf</t>
  </si>
  <si>
    <t>Gils, H.</t>
  </si>
  <si>
    <t>Assessment of the theoretical demand response potential in Europe</t>
  </si>
  <si>
    <t>https://www.sciencedirect.com/science/article/abs/pii/S0360544214001534</t>
  </si>
  <si>
    <t>Le Baut et al.</t>
  </si>
  <si>
    <t>Characterization of flexibility resources and distribution networks</t>
  </si>
  <si>
    <t>http://smartnet-project.eu/wp-content/uploads/2017/05/D1.2_20170522_V1.1.pdf</t>
  </si>
  <si>
    <t>Brouwer et al.</t>
  </si>
  <si>
    <t>Least-cost options for integrating intermittent renewables in low-carbon power systems</t>
  </si>
  <si>
    <t>https://www.sciencedirect.com/science/article/abs/pii/S0306261915012167</t>
  </si>
  <si>
    <t>IRENA</t>
  </si>
  <si>
    <t>Green Hydrogen Cost Reduction</t>
  </si>
  <si>
    <t xml:space="preserve">https://www.irena.org/publications/2020/Dec/Green-hydrogen-cost-reduction </t>
  </si>
  <si>
    <t>Wartisla</t>
  </si>
  <si>
    <t xml:space="preserve">Reciprocating engines as a source reciprocating engines as a source of flexibility in a power system </t>
  </si>
  <si>
    <t xml:space="preserve">https://www.cire.pl/pliki/2/2018/13___niewinski.pdf </t>
  </si>
  <si>
    <t>DELTA-EE</t>
  </si>
  <si>
    <t>Data published with the public consultation on 28/10 and final report on 4/11 latest.</t>
  </si>
  <si>
    <t>https://www.elia.be/en/users-group/adequacy-working-group/20221028-meeting</t>
  </si>
  <si>
    <t>5.1. Flow-based domains</t>
  </si>
  <si>
    <t xml:space="preserve">Elia has developed a flow-based framework which does not rely on historical domains, but instead aims to mimic the operational flow-based capacity calculation workflow.
</t>
  </si>
  <si>
    <r>
      <t>The framework is based on a zonal model of Europe and the grid model used is based on th</t>
    </r>
    <r>
      <rPr>
        <sz val="11"/>
        <rFont val="Calibri"/>
        <family val="2"/>
        <scheme val="minor"/>
      </rPr>
      <t>e TYNDP 2022</t>
    </r>
    <r>
      <rPr>
        <sz val="11"/>
        <color theme="1"/>
        <rFont val="Calibri"/>
        <family val="2"/>
        <scheme val="minor"/>
      </rPr>
      <t>.</t>
    </r>
  </si>
  <si>
    <t>The flow-based perimeter includes the CORE* region, with 13-dimensional domains.</t>
  </si>
  <si>
    <t xml:space="preserve">Using a framework allows hence to consult on the parameters rather than domains. </t>
  </si>
  <si>
    <t>The flow-based domains will be illustrated in the final report.</t>
  </si>
  <si>
    <r>
      <t>For more information on flow-based please re</t>
    </r>
    <r>
      <rPr>
        <sz val="11"/>
        <rFont val="Calibri"/>
        <family val="2"/>
        <scheme val="minor"/>
      </rPr>
      <t>fer to the appendix on Cross-border exchange capacities.</t>
    </r>
  </si>
  <si>
    <t>* note that the framework has been improved to be able to cope with CORE and to include 'advanced hybrid coupling' treatment of external links to the flow-based zone.</t>
  </si>
  <si>
    <t>5.1.1. Main parameters</t>
  </si>
  <si>
    <t>Market Parameters</t>
  </si>
  <si>
    <t>Flow-based perimeter</t>
  </si>
  <si>
    <t>CORE</t>
  </si>
  <si>
    <t>Bidding zones</t>
  </si>
  <si>
    <t>As Is</t>
  </si>
  <si>
    <t xml:space="preserve">ACER Decision No 11-2022 on the alternative bidding zone configurations only refers to assessment by next BZR study, so no official new configuration is known at this moment </t>
  </si>
  <si>
    <t>minRAM</t>
  </si>
  <si>
    <t>See table below</t>
  </si>
  <si>
    <t>https://acer.europa.eu/Official_documents/Acts_of_the_Agency/Publications%20Annexes/ACER%20Report%20on%20the%20result%20of%20monitoring%20the%20MACZT%20Generic/ACER%20Report%20on%20the%20result%20of%20monitoring%20the%20MACZT%20Derogations.pdf</t>
  </si>
  <si>
    <t>Treatment of external flows</t>
  </si>
  <si>
    <t xml:space="preserve"> Standard Hybrid Coupling (SHC)</t>
  </si>
  <si>
    <t xml:space="preserve"> Advanced Hybrid Coupling (AHC)</t>
  </si>
  <si>
    <t>External &amp; Allocation constraints</t>
  </si>
  <si>
    <t xml:space="preserve">No allocation constraint for Belgium from 2024 onwards* </t>
  </si>
  <si>
    <t>* Assumed that simultaneous 'Max Import' is systematically not higher than 9.000MW
**See JAO Publication Tool for monthly statistics on the dynamic allocation constraint for Poland and External constraint of The Netherlands</t>
  </si>
  <si>
    <t xml:space="preserve">Dynamic Allocation constraint for PL for all years** </t>
  </si>
  <si>
    <t>External constraint on Core net position of NL (Import: 6500/Export: 6500) until 2023**</t>
  </si>
  <si>
    <t>Use of PST in capacity calculation</t>
  </si>
  <si>
    <t>For Belgium: 1/2
For other: 1/3</t>
  </si>
  <si>
    <t>All get a setpoint based on the nodal flow estimation (FE). In capacity calculation only the currently known PST’s are selected (BC). In capacity allocation none participate (MC)</t>
  </si>
  <si>
    <t>Use of HVDC in flow-based capacity allocation</t>
  </si>
  <si>
    <t>Only ALEGrO</t>
  </si>
  <si>
    <t xml:space="preserve">Modelling of Channel HVDC 
(NemoLink, IFAs, BritNed, Noth Sea Link, etc..) </t>
  </si>
  <si>
    <t xml:space="preserve"> Consideration of 'Explicit Allocation' after Brexit </t>
  </si>
  <si>
    <t>See eg section 5.1.3 “Post-Brexit trading arrangements with the United Kingdom” (page 53) of the Belgian Regulator (CREG) Monitoring Report 2021</t>
  </si>
  <si>
    <t>5.1.2. MinRAM trajectories</t>
  </si>
  <si>
    <t>Country</t>
  </si>
  <si>
    <t>Justification</t>
  </si>
  <si>
    <t>Austria</t>
  </si>
  <si>
    <t>CORE borders</t>
  </si>
  <si>
    <t>Action plan 2021-2025; Derogation for 2022 (related to loop flows &amp; PST flows)</t>
  </si>
  <si>
    <t>Belgium*</t>
  </si>
  <si>
    <t>*With the application of a derogation</t>
  </si>
  <si>
    <t>Netherlands</t>
  </si>
  <si>
    <t>Action plan 2020-2025; Derogation for 2022 (related to floop flows &amp; redispatching)</t>
  </si>
  <si>
    <t>Germany</t>
  </si>
  <si>
    <t>Action plan 2020-2025</t>
  </si>
  <si>
    <t>France</t>
  </si>
  <si>
    <t>Slovenia</t>
  </si>
  <si>
    <t>Kroatia</t>
  </si>
  <si>
    <t>Plans to adopt a action plan mid-2022; Derogation for 2022 (several reason)</t>
  </si>
  <si>
    <t>Romania</t>
  </si>
  <si>
    <t>Action plan  2021-2025</t>
  </si>
  <si>
    <t>Czechia</t>
  </si>
  <si>
    <t>Derogation for 2022 (loop flows, internal flows, reliability margins)</t>
  </si>
  <si>
    <t>Slovakia</t>
  </si>
  <si>
    <t>Derogation for 2022 (related to operational security)</t>
  </si>
  <si>
    <t>Poland</t>
  </si>
  <si>
    <t xml:space="preserve">CORE borders </t>
  </si>
  <si>
    <t>Action plan 2020-2025; Derogation for 2022 (related to floop flows &amp; non-coordinated transit flows); max value</t>
  </si>
  <si>
    <t>Hungary</t>
  </si>
  <si>
    <t>Public consultation of action plan in 2021</t>
  </si>
  <si>
    <t xml:space="preserve">The assumption for all European countries will be based on : </t>
  </si>
  <si>
    <t>- ERAA 2022 - the study should be published by end of the year by ENTSO-E</t>
  </si>
  <si>
    <t>- FitFor55 &amp; RePowerEU announcements</t>
  </si>
  <si>
    <t>- Latest available market information for all EU countries if any. Those will be detailed in the final report</t>
  </si>
  <si>
    <t>Units</t>
  </si>
  <si>
    <t>Sources / Infos :</t>
  </si>
  <si>
    <t>Demand</t>
  </si>
  <si>
    <t>Twh</t>
  </si>
  <si>
    <t>• ERAA 2022</t>
  </si>
  <si>
    <t>Onshore Wind</t>
  </si>
  <si>
    <t>GW</t>
  </si>
  <si>
    <t>• Futurs Energétiques (October 2021)</t>
  </si>
  <si>
    <t>Offshore Wind</t>
  </si>
  <si>
    <t>• Public consultation for the next “Bilan Prévisionnel” foreseen in November 2022</t>
  </si>
  <si>
    <t>Solar</t>
  </si>
  <si>
    <t>• Macron’s announcement from February 2022 (lower investments in onshore wind* + nuclear  extension**)</t>
  </si>
  <si>
    <t>Coal</t>
  </si>
  <si>
    <t/>
  </si>
  <si>
    <t>• ERAA22</t>
  </si>
  <si>
    <t>• Easter package (April 2022)</t>
  </si>
  <si>
    <t>• NEP 2023, scenario from 2037 (January 2022)</t>
  </si>
  <si>
    <t>• Monitoring leveringszekerheid (TenneT, 2021)</t>
  </si>
  <si>
    <t>• Monitor Zon-PV and Wind op Land 2022 in Nederland</t>
  </si>
  <si>
    <t>• Offshore government announcement (March, 2021)</t>
  </si>
  <si>
    <t>• Ontwikkelkader windenergie op zee (June 2022)</t>
  </si>
  <si>
    <t>United Kingdom</t>
  </si>
  <si>
    <t>• Future Energy Scenarios (July 2022)</t>
  </si>
  <si>
    <t>• Unit-by-unit analysis for nuclear</t>
  </si>
  <si>
    <t>Spain</t>
  </si>
  <si>
    <t>• ERAA 22</t>
  </si>
  <si>
    <t>• Spanish Roadmap*</t>
  </si>
  <si>
    <t>• Hoja de Ruta para el desarrollo de la Eólica Marina y de las Energías del Mar (miteco.gob.es)</t>
  </si>
  <si>
    <t>• Hoja de Ruta del Autoconsumo (miteco.gob.es)</t>
  </si>
  <si>
    <t>• El Gobierno aprueba la Estrategia de Almacenamiento Energético, clave para garantizar la seguridad del suministro y precios más bajos de la energía (miteco.gob.es).</t>
  </si>
  <si>
    <t>• Estado del acceso y conexión de la generación renovable eólica y solar fotovoltaica | Red Eléctrica (ree.es)</t>
  </si>
  <si>
    <t>Italy</t>
  </si>
  <si>
    <t xml:space="preserve">• DDS2022 : «Documento di descrizione degli scenari 2022» </t>
  </si>
  <si>
    <t>• Energy Policy of Poland until 2040 (02/02/2021)</t>
  </si>
  <si>
    <t>• Latest trends (solar, onshore wind), press articles</t>
  </si>
  <si>
    <t>Denmark</t>
  </si>
  <si>
    <t>• Analyseforudsætninger til Energinet (23/09/2022)</t>
  </si>
  <si>
    <t>• Energy Agency revisits cases of planned coal plant closures (01/10/2022)</t>
  </si>
  <si>
    <t>7.1. Low-carbon Tender (LCT) dataset</t>
  </si>
  <si>
    <t>Individually-modelled thermal production</t>
  </si>
  <si>
    <t>Technology</t>
  </si>
  <si>
    <t>Net Generation Capacity 
[MW]</t>
  </si>
  <si>
    <t>Renewables &amp; non-CIPU</t>
  </si>
  <si>
    <t>Total electricity demand</t>
  </si>
  <si>
    <t>Storage</t>
  </si>
  <si>
    <t>Turbining capacity at the end of the mentionned year</t>
  </si>
  <si>
    <t>Large-scale batteries</t>
  </si>
  <si>
    <t>Small-scale batteries</t>
  </si>
  <si>
    <t>DSR Industry</t>
  </si>
  <si>
    <t>Fuel &amp; CO2 price</t>
  </si>
  <si>
    <t>Investment Costs</t>
  </si>
  <si>
    <t>Forced outage rates</t>
  </si>
  <si>
    <t>Flow-based domains</t>
  </si>
  <si>
    <t>Data for other countries</t>
  </si>
  <si>
    <t xml:space="preserve">Poland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</si>
</sst>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00\ _€_-;\-* #,##0.00\ _€_-;_-* &quot;-&quot;??\ _€_-;_-@_-"/>
    <numFmt numFmtId="165" formatCode="_ * #,##0.00_ ;_ * \-#,##0.00_ ;_ * &quot;-&quot;??_ ;_ @_ "/>
    <numFmt numFmtId="166" formatCode="_ * #,##0_ ;_ * \-#,##0_ ;_ * &quot;-&quot;??_ ;_ @_ "/>
    <numFmt numFmtId="167" formatCode="0.0"/>
    <numFmt numFmtId="168" formatCode="0.0%"/>
    <numFmt numFmtId="169" formatCode="_-* #,##0_-;\-* #,##0_-;_-* &quot;-&quot;??_-;_-@_-"/>
    <numFmt numFmtId="170" formatCode="0.000000"/>
    <numFmt numFmtId="171" formatCode="0.000"/>
    <numFmt numFmtId="172" formatCode="0.0000"/>
  </numFmts>
  <fonts count="111"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sz val="18"/>
      <color theme="1"/>
      <name val="Calibri"/>
      <family val="2"/>
      <scheme val="minor"/>
    </font>
    <font>
      <sz val="11"/>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b/>
      <sz val="9"/>
      <color theme="1"/>
      <name val="Calibri"/>
      <family val="2"/>
      <scheme val="minor"/>
    </font>
    <font>
      <b/>
      <sz val="11"/>
      <name val="Calibri"/>
      <family val="2"/>
      <scheme val="minor"/>
    </font>
    <font>
      <i/>
      <sz val="11"/>
      <color theme="1"/>
      <name val="Calibri"/>
      <family val="2"/>
      <scheme val="minor"/>
    </font>
    <font>
      <b/>
      <sz val="10"/>
      <name val="Arial"/>
      <family val="2"/>
    </font>
    <font>
      <sz val="10"/>
      <name val="Arial"/>
      <family val="2"/>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name val="MS Sans Serif"/>
      <family val="2"/>
    </font>
    <font>
      <sz val="10"/>
      <color theme="1"/>
      <name val="Arial"/>
      <family val="2"/>
    </font>
    <font>
      <sz val="10"/>
      <color theme="1"/>
      <name val="Calibri"/>
      <family val="2"/>
    </font>
    <font>
      <sz val="10"/>
      <name val="Arial"/>
      <family val="2"/>
      <charset val="238"/>
    </font>
    <font>
      <b/>
      <sz val="10"/>
      <name val="Arial"/>
      <family val="2"/>
      <charset val="238"/>
    </font>
    <font>
      <b/>
      <sz val="12"/>
      <name val="Arial"/>
      <family val="2"/>
      <charset val="238"/>
    </font>
    <font>
      <sz val="8"/>
      <color indexed="9"/>
      <name val="Arial"/>
      <family val="2"/>
      <charset val="238"/>
    </font>
    <font>
      <b/>
      <sz val="8"/>
      <name val="Arial"/>
      <family val="2"/>
      <charset val="238"/>
    </font>
    <font>
      <b/>
      <sz val="8"/>
      <name val="Arial"/>
      <family val="2"/>
    </font>
    <font>
      <b/>
      <sz val="12"/>
      <name val="Arial"/>
      <family val="2"/>
    </font>
    <font>
      <sz val="8"/>
      <color indexed="9"/>
      <name val="Arial"/>
      <family val="2"/>
    </font>
    <font>
      <sz val="10"/>
      <color indexed="8"/>
      <name val="Arial"/>
      <family val="2"/>
    </font>
    <font>
      <sz val="11"/>
      <color theme="1"/>
      <name val="Calibri"/>
      <family val="2"/>
      <charset val="238"/>
      <scheme val="minor"/>
    </font>
    <font>
      <u/>
      <sz val="9.35"/>
      <color theme="10"/>
      <name val="Calibri"/>
      <family val="2"/>
    </font>
    <font>
      <b/>
      <sz val="11"/>
      <color rgb="FF000000"/>
      <name val="Calibri"/>
      <family val="2"/>
    </font>
    <font>
      <b/>
      <sz val="20"/>
      <color theme="1"/>
      <name val="Calibri"/>
      <family val="2"/>
      <scheme val="minor"/>
    </font>
    <font>
      <sz val="11"/>
      <color rgb="FF000000"/>
      <name val="Calibri"/>
      <family val="2"/>
    </font>
    <font>
      <i/>
      <sz val="11"/>
      <color rgb="FF000000"/>
      <name val="Calibri"/>
      <family val="2"/>
    </font>
    <font>
      <sz val="22"/>
      <color rgb="FFFF0000"/>
      <name val="Calibri"/>
      <family val="2"/>
      <scheme val="minor"/>
    </font>
    <font>
      <sz val="11"/>
      <color theme="1"/>
      <name val="Calibri"/>
      <family val="2"/>
    </font>
    <font>
      <sz val="11"/>
      <name val="Calibri"/>
      <family val="2"/>
    </font>
    <font>
      <b/>
      <u/>
      <sz val="11"/>
      <color indexed="8"/>
      <name val="Calibri"/>
      <family val="2"/>
    </font>
    <font>
      <sz val="11"/>
      <color theme="9" tint="-0.249977111117893"/>
      <name val="Calibri"/>
      <family val="2"/>
      <scheme val="minor"/>
    </font>
    <font>
      <sz val="10"/>
      <color theme="0" tint="-0.499984740745262"/>
      <name val="Calibri"/>
      <family val="2"/>
      <scheme val="minor"/>
    </font>
    <font>
      <sz val="10"/>
      <color theme="1"/>
      <name val="Calibri"/>
      <family val="2"/>
      <scheme val="minor"/>
    </font>
    <font>
      <b/>
      <u/>
      <sz val="11"/>
      <color theme="1"/>
      <name val="Calibri"/>
      <family val="2"/>
      <scheme val="minor"/>
    </font>
    <font>
      <b/>
      <sz val="11"/>
      <color rgb="FFFFFFFF"/>
      <name val="Calibri"/>
      <family val="2"/>
    </font>
    <font>
      <b/>
      <i/>
      <sz val="11"/>
      <color rgb="FFFFFFFF"/>
      <name val="Calibri"/>
      <family val="2"/>
    </font>
    <font>
      <b/>
      <i/>
      <sz val="10"/>
      <color rgb="FF000000"/>
      <name val="Arial"/>
      <family val="2"/>
    </font>
    <font>
      <i/>
      <sz val="10"/>
      <color rgb="FF000000"/>
      <name val="Arial"/>
      <family val="2"/>
    </font>
    <font>
      <i/>
      <sz val="11"/>
      <color theme="0" tint="-0.499984740745262"/>
      <name val="Calibri"/>
      <family val="2"/>
      <scheme val="minor"/>
    </font>
    <font>
      <i/>
      <sz val="11"/>
      <color theme="0" tint="-0.249977111117893"/>
      <name val="Calibri"/>
      <family val="2"/>
      <scheme val="minor"/>
    </font>
    <font>
      <b/>
      <u/>
      <sz val="12"/>
      <color theme="1"/>
      <name val="Calibri"/>
      <family val="2"/>
      <scheme val="minor"/>
    </font>
    <font>
      <sz val="16"/>
      <color theme="1"/>
      <name val="Calibri"/>
      <family val="2"/>
      <scheme val="minor"/>
    </font>
    <font>
      <i/>
      <u/>
      <sz val="10"/>
      <color theme="10"/>
      <name val="Calibri"/>
      <family val="2"/>
      <scheme val="minor"/>
    </font>
    <font>
      <b/>
      <sz val="12"/>
      <color theme="1"/>
      <name val="Calibri"/>
      <family val="2"/>
    </font>
    <font>
      <i/>
      <sz val="11"/>
      <color theme="1"/>
      <name val="Calibri"/>
      <family val="2"/>
    </font>
    <font>
      <b/>
      <u/>
      <sz val="12"/>
      <color theme="1"/>
      <name val="Calibri"/>
      <family val="2"/>
    </font>
    <font>
      <sz val="12"/>
      <color theme="1"/>
      <name val="Calibri"/>
      <family val="2"/>
    </font>
    <font>
      <b/>
      <i/>
      <sz val="11"/>
      <color theme="1"/>
      <name val="Calibri"/>
      <family val="2"/>
      <scheme val="minor"/>
    </font>
    <font>
      <u/>
      <sz val="14"/>
      <color theme="1"/>
      <name val="Calibri"/>
      <family val="2"/>
      <scheme val="minor"/>
    </font>
    <font>
      <b/>
      <u/>
      <sz val="11"/>
      <name val="Calibri"/>
      <family val="2"/>
      <scheme val="minor"/>
    </font>
    <font>
      <b/>
      <u/>
      <sz val="14"/>
      <color theme="1"/>
      <name val="Calibri"/>
      <family val="2"/>
      <scheme val="minor"/>
    </font>
    <font>
      <sz val="10"/>
      <color rgb="FFFF0000"/>
      <name val="Calibri"/>
      <family val="2"/>
      <scheme val="minor"/>
    </font>
    <font>
      <sz val="10"/>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u/>
      <sz val="16"/>
      <color rgb="FF000000"/>
      <name val="Calibri"/>
      <family val="2"/>
      <scheme val="minor"/>
    </font>
    <font>
      <sz val="36"/>
      <color theme="1"/>
      <name val="Calibri"/>
      <family val="2"/>
      <scheme val="minor"/>
    </font>
    <font>
      <sz val="11"/>
      <color theme="2" tint="-0.249977111117893"/>
      <name val="Calibri"/>
      <family val="2"/>
      <scheme val="minor"/>
    </font>
    <font>
      <sz val="28"/>
      <color theme="1"/>
      <name val="Calibri"/>
      <family val="2"/>
      <scheme val="minor"/>
    </font>
    <font>
      <sz val="10"/>
      <color rgb="FF000000"/>
      <name val="Arial"/>
      <family val="2"/>
    </font>
    <font>
      <b/>
      <sz val="10"/>
      <color rgb="FF000000"/>
      <name val="Arial"/>
      <family val="2"/>
    </font>
    <font>
      <b/>
      <sz val="11"/>
      <color theme="3" tint="-0.24994659260841701"/>
      <name val="Calibri"/>
      <family val="2"/>
      <scheme val="minor"/>
    </font>
    <font>
      <sz val="18"/>
      <name val="Calibri"/>
      <family val="2"/>
      <scheme val="minor"/>
    </font>
    <font>
      <b/>
      <i/>
      <sz val="16"/>
      <color theme="0"/>
      <name val="Calibri"/>
      <family val="2"/>
      <scheme val="minor"/>
    </font>
    <font>
      <b/>
      <sz val="16"/>
      <color theme="0"/>
      <name val="Calibri"/>
      <family val="2"/>
      <scheme val="minor"/>
    </font>
    <font>
      <u/>
      <sz val="11"/>
      <name val="Calibri"/>
      <family val="2"/>
      <scheme val="minor"/>
    </font>
    <font>
      <b/>
      <sz val="11"/>
      <color rgb="FFFF0000"/>
      <name val="Calibri"/>
      <family val="2"/>
      <scheme val="minor"/>
    </font>
    <font>
      <u/>
      <sz val="11"/>
      <color rgb="FFFF0000"/>
      <name val="Calibri"/>
      <family val="2"/>
      <scheme val="minor"/>
    </font>
    <font>
      <b/>
      <sz val="14"/>
      <color theme="1"/>
      <name val="Calibri"/>
      <family val="2"/>
      <scheme val="minor"/>
    </font>
    <font>
      <sz val="11"/>
      <color rgb="FF394D55"/>
      <name val="Calibri"/>
      <family val="2"/>
      <scheme val="minor"/>
    </font>
    <font>
      <i/>
      <sz val="11"/>
      <color rgb="FF394D55"/>
      <name val="Calibri"/>
      <family val="2"/>
      <scheme val="minor"/>
    </font>
    <font>
      <sz val="8"/>
      <color theme="1"/>
      <name val="Arial"/>
      <family val="2"/>
    </font>
    <font>
      <u/>
      <sz val="11"/>
      <color rgb="FF000000"/>
      <name val="Calibri"/>
      <family val="2"/>
      <scheme val="minor"/>
    </font>
    <font>
      <u/>
      <sz val="11"/>
      <color rgb="FF394D55"/>
      <name val="Calibri"/>
      <family val="2"/>
      <scheme val="minor"/>
    </font>
    <font>
      <i/>
      <sz val="11"/>
      <name val="Calibri"/>
      <family val="2"/>
      <scheme val="minor"/>
    </font>
    <font>
      <b/>
      <sz val="11"/>
      <name val="Calibri"/>
      <family val="2"/>
    </font>
    <font>
      <sz val="11"/>
      <color rgb="FFFF0000"/>
      <name val="Calibri"/>
      <family val="2"/>
    </font>
    <font>
      <i/>
      <sz val="11"/>
      <color rgb="FFFF0000"/>
      <name val="Calibri"/>
      <family val="2"/>
      <scheme val="minor"/>
    </font>
    <font>
      <sz val="11"/>
      <color theme="0" tint="-0.499984740745262"/>
      <name val="Calibri"/>
      <family val="2"/>
      <scheme val="minor"/>
    </font>
    <font>
      <b/>
      <sz val="16"/>
      <color theme="1"/>
      <name val="Calibri"/>
      <family val="2"/>
      <scheme val="minor"/>
    </font>
    <font>
      <b/>
      <sz val="16"/>
      <name val="Calibri"/>
      <family val="2"/>
      <scheme val="minor"/>
    </font>
    <font>
      <sz val="16"/>
      <color theme="0"/>
      <name val="Calibri"/>
      <family val="2"/>
      <scheme val="minor"/>
    </font>
    <font>
      <sz val="11"/>
      <color rgb="FF000000"/>
      <name val="Arial"/>
      <family val="2"/>
    </font>
    <font>
      <b/>
      <sz val="11"/>
      <color rgb="FF000000"/>
      <name val="Arial"/>
      <family val="2"/>
    </font>
    <font>
      <sz val="14"/>
      <color rgb="FFFCC468"/>
      <name val="Wingdings"/>
      <charset val="2"/>
    </font>
    <font>
      <sz val="10"/>
      <color theme="1"/>
      <name val="Arial Narrow"/>
      <family val="2"/>
    </font>
    <font>
      <sz val="11"/>
      <color theme="1" tint="0.499984740745262"/>
      <name val="Calibri"/>
      <family val="2"/>
      <scheme val="minor"/>
    </font>
    <font>
      <sz val="18"/>
      <color theme="0"/>
      <name val="Calibri"/>
      <family val="2"/>
      <scheme val="minor"/>
    </font>
  </fonts>
  <fills count="7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patternFill>
    </fill>
    <fill>
      <patternFill patternType="solid">
        <fgColor indexed="63"/>
        <bgColor indexed="64"/>
      </patternFill>
    </fill>
    <fill>
      <patternFill patternType="solid">
        <fgColor indexed="62"/>
        <bgColor indexed="64"/>
      </patternFill>
    </fill>
    <fill>
      <patternFill patternType="solid">
        <fgColor indexed="61"/>
        <bgColor indexed="64"/>
      </patternFill>
    </fill>
    <fill>
      <patternFill patternType="solid">
        <fgColor rgb="FFED7D31"/>
        <bgColor rgb="FF000000"/>
      </patternFill>
    </fill>
    <fill>
      <patternFill patternType="solid">
        <fgColor rgb="FFFFF2CC"/>
        <bgColor rgb="FF000000"/>
      </patternFill>
    </fill>
    <fill>
      <patternFill patternType="solid">
        <fgColor theme="0" tint="-0.249977111117893"/>
        <bgColor indexed="64"/>
      </patternFill>
    </fill>
    <fill>
      <patternFill patternType="solid">
        <fgColor rgb="FFFFFFFF"/>
        <bgColor rgb="FF000000"/>
      </patternFill>
    </fill>
    <fill>
      <patternFill patternType="solid">
        <fgColor rgb="FFF79646"/>
        <bgColor rgb="FF000000"/>
      </patternFill>
    </fill>
    <fill>
      <patternFill patternType="solid">
        <fgColor rgb="FFFCD5B4"/>
        <bgColor rgb="FF000000"/>
      </patternFill>
    </fill>
    <fill>
      <patternFill patternType="solid">
        <fgColor rgb="FFC0504D"/>
        <bgColor rgb="FF000000"/>
      </patternFill>
    </fill>
    <fill>
      <patternFill patternType="solid">
        <fgColor rgb="FFB7DEE8"/>
        <bgColor rgb="FF000000"/>
      </patternFill>
    </fill>
    <fill>
      <patternFill patternType="solid">
        <fgColor rgb="FF808080"/>
        <bgColor rgb="FF000000"/>
      </patternFill>
    </fill>
    <fill>
      <patternFill patternType="solid">
        <fgColor rgb="FFDDD9C4"/>
        <bgColor rgb="FF000000"/>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E4DFEC"/>
        <bgColor rgb="FF000000"/>
      </patternFill>
    </fill>
    <fill>
      <patternFill patternType="solid">
        <fgColor rgb="FF000000"/>
        <bgColor rgb="FF000000"/>
      </patternFill>
    </fill>
    <fill>
      <patternFill patternType="solid">
        <fgColor rgb="FF31869B"/>
        <bgColor rgb="FF000000"/>
      </patternFill>
    </fill>
    <fill>
      <patternFill patternType="solid">
        <fgColor rgb="FFFFC000"/>
        <bgColor indexed="64"/>
      </patternFill>
    </fill>
    <fill>
      <patternFill patternType="solid">
        <fgColor theme="8" tint="-0.249977111117893"/>
        <bgColor indexed="64"/>
      </patternFill>
    </fill>
    <fill>
      <patternFill patternType="solid">
        <fgColor theme="8"/>
        <bgColor indexed="64"/>
      </patternFill>
    </fill>
    <fill>
      <patternFill patternType="solid">
        <fgColor theme="4"/>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2" tint="0.79998168889431442"/>
        <bgColor indexed="64"/>
      </patternFill>
    </fill>
    <fill>
      <patternFill patternType="solid">
        <fgColor theme="2" tint="-0.249977111117893"/>
        <bgColor rgb="FF000000"/>
      </patternFill>
    </fill>
    <fill>
      <patternFill patternType="solid">
        <fgColor theme="9" tint="0.79998168889431442"/>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1"/>
        <bgColor rgb="FF000000"/>
      </patternFill>
    </fill>
    <fill>
      <patternFill patternType="solid">
        <fgColor theme="1"/>
        <bgColor indexed="64"/>
      </patternFill>
    </fill>
    <fill>
      <patternFill patternType="solid">
        <fgColor theme="0" tint="-0.499984740745262"/>
        <bgColor indexed="64"/>
      </patternFill>
    </fill>
  </fills>
  <borders count="14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tted">
        <color indexed="64"/>
      </right>
      <top/>
      <bottom style="medium">
        <color indexed="64"/>
      </bottom>
      <diagonal/>
    </border>
    <border>
      <left style="medium">
        <color indexed="64"/>
      </left>
      <right style="dotted">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diagonal/>
    </border>
    <border>
      <left style="thin">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ashed">
        <color indexed="64"/>
      </top>
      <bottom style="dotted">
        <color indexed="64"/>
      </bottom>
      <diagonal/>
    </border>
    <border>
      <left style="dashed">
        <color indexed="64"/>
      </left>
      <right style="dotted">
        <color indexed="64"/>
      </right>
      <top style="dotted">
        <color indexed="64"/>
      </top>
      <bottom style="medium">
        <color auto="1"/>
      </bottom>
      <diagonal/>
    </border>
    <border>
      <left style="dashed">
        <color indexed="64"/>
      </left>
      <right style="dott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dashed">
        <color indexed="64"/>
      </left>
      <right/>
      <top style="dotted">
        <color indexed="64"/>
      </top>
      <bottom style="dotted">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ashed">
        <color indexed="64"/>
      </bottom>
      <diagonal/>
    </border>
    <border>
      <left/>
      <right/>
      <top style="dotted">
        <color indexed="64"/>
      </top>
      <bottom style="dashed">
        <color indexed="64"/>
      </bottom>
      <diagonal/>
    </border>
    <border>
      <left style="medium">
        <color indexed="64"/>
      </left>
      <right/>
      <top style="dotted">
        <color indexed="64"/>
      </top>
      <bottom style="dashed">
        <color indexed="64"/>
      </bottom>
      <diagonal/>
    </border>
    <border>
      <left style="medium">
        <color indexed="64"/>
      </left>
      <right/>
      <top style="dashed">
        <color indexed="64"/>
      </top>
      <bottom/>
      <diagonal/>
    </border>
    <border>
      <left/>
      <right style="dashed">
        <color indexed="64"/>
      </right>
      <top style="dotted">
        <color indexed="64"/>
      </top>
      <bottom style="dotted">
        <color indexed="64"/>
      </bottom>
      <diagonal/>
    </border>
    <border>
      <left style="medium">
        <color indexed="64"/>
      </left>
      <right/>
      <top style="dashed">
        <color indexed="64"/>
      </top>
      <bottom style="dashed">
        <color indexed="64"/>
      </bottom>
      <diagonal/>
    </border>
    <border>
      <left style="medium">
        <color indexed="64"/>
      </left>
      <right/>
      <top style="medium">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Dashed">
        <color indexed="64"/>
      </right>
      <top/>
      <bottom/>
      <diagonal/>
    </border>
    <border>
      <left style="medium">
        <color indexed="64"/>
      </left>
      <right style="mediumDashed">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Dashed">
        <color indexed="64"/>
      </left>
      <right/>
      <top/>
      <bottom/>
      <diagonal/>
    </border>
    <border>
      <left style="mediumDashed">
        <color indexed="64"/>
      </left>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style="thick">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style="thick">
        <color indexed="64"/>
      </right>
      <top style="medium">
        <color indexed="64"/>
      </top>
      <bottom/>
      <diagonal/>
    </border>
    <border>
      <left style="dotted">
        <color indexed="64"/>
      </left>
      <right/>
      <top style="medium">
        <color indexed="64"/>
      </top>
      <bottom/>
      <diagonal/>
    </border>
    <border>
      <left style="dotted">
        <color indexed="64"/>
      </left>
      <right style="thick">
        <color indexed="64"/>
      </right>
      <top/>
      <bottom/>
      <diagonal/>
    </border>
    <border>
      <left style="dotted">
        <color indexed="64"/>
      </left>
      <right/>
      <top/>
      <bottom/>
      <diagonal/>
    </border>
    <border>
      <left style="dotted">
        <color indexed="64"/>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ck">
        <color indexed="64"/>
      </right>
      <top style="medium">
        <color indexed="64"/>
      </top>
      <bottom style="medium">
        <color indexed="64"/>
      </bottom>
      <diagonal/>
    </border>
    <border>
      <left style="dotted">
        <color indexed="64"/>
      </left>
      <right style="thick">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ash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medium">
        <color indexed="64"/>
      </top>
      <bottom style="medium">
        <color indexed="64"/>
      </bottom>
      <diagonal/>
    </border>
  </borders>
  <cellStyleXfs count="827">
    <xf numFmtId="0" fontId="0" fillId="0" borderId="0"/>
    <xf numFmtId="0" fontId="2" fillId="0" borderId="0" applyNumberForma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15" fillId="0" borderId="0" applyNumberFormat="0" applyFill="0" applyBorder="0" applyAlignment="0" applyProtection="0"/>
    <xf numFmtId="0" fontId="16" fillId="0" borderId="20" applyNumberFormat="0" applyFill="0" applyAlignment="0" applyProtection="0"/>
    <xf numFmtId="0" fontId="17" fillId="0" borderId="21" applyNumberFormat="0" applyFill="0" applyAlignment="0" applyProtection="0"/>
    <xf numFmtId="0" fontId="18" fillId="0" borderId="22"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23" applyNumberFormat="0" applyAlignment="0" applyProtection="0"/>
    <xf numFmtId="0" fontId="23" fillId="8" borderId="24" applyNumberFormat="0" applyAlignment="0" applyProtection="0"/>
    <xf numFmtId="0" fontId="24" fillId="8" borderId="23" applyNumberFormat="0" applyAlignment="0" applyProtection="0"/>
    <xf numFmtId="0" fontId="25" fillId="0" borderId="25" applyNumberFormat="0" applyFill="0" applyAlignment="0" applyProtection="0"/>
    <xf numFmtId="0" fontId="14" fillId="9" borderId="26" applyNumberFormat="0" applyAlignment="0" applyProtection="0"/>
    <xf numFmtId="0" fontId="26" fillId="0" borderId="0" applyNumberFormat="0" applyFill="0" applyBorder="0" applyAlignment="0" applyProtection="0"/>
    <xf numFmtId="0" fontId="5" fillId="10" borderId="27" applyNumberFormat="0" applyFont="0" applyAlignment="0" applyProtection="0"/>
    <xf numFmtId="0" fontId="27" fillId="0" borderId="0" applyNumberFormat="0" applyFill="0" applyBorder="0" applyAlignment="0" applyProtection="0"/>
    <xf numFmtId="0" fontId="1"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28" fillId="34" borderId="0" applyNumberFormat="0" applyBorder="0" applyAlignment="0" applyProtection="0"/>
    <xf numFmtId="164" fontId="5" fillId="0" borderId="0" applyFont="0" applyFill="0" applyBorder="0" applyAlignment="0" applyProtection="0"/>
    <xf numFmtId="0" fontId="13" fillId="0" borderId="0"/>
    <xf numFmtId="0" fontId="13" fillId="0" borderId="0"/>
    <xf numFmtId="0" fontId="13" fillId="0" borderId="0"/>
    <xf numFmtId="9" fontId="13" fillId="0" borderId="0" applyFont="0" applyFill="0" applyBorder="0" applyAlignment="0" applyProtection="0"/>
    <xf numFmtId="0" fontId="32" fillId="0" borderId="0"/>
    <xf numFmtId="0" fontId="30" fillId="0" borderId="0"/>
    <xf numFmtId="0" fontId="28" fillId="11" borderId="0" applyNumberFormat="0" applyBorder="0" applyAlignment="0" applyProtection="0"/>
    <xf numFmtId="164" fontId="31" fillId="0" borderId="0" applyFont="0" applyFill="0" applyBorder="0" applyAlignment="0" applyProtection="0"/>
    <xf numFmtId="0" fontId="12" fillId="35" borderId="29">
      <alignment horizontal="center"/>
    </xf>
    <xf numFmtId="0" fontId="16" fillId="0" borderId="20" applyNumberFormat="0" applyFill="0" applyAlignment="0" applyProtection="0"/>
    <xf numFmtId="0" fontId="18"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31" fillId="0" borderId="0"/>
    <xf numFmtId="0" fontId="5" fillId="0" borderId="0"/>
    <xf numFmtId="0" fontId="13" fillId="0" borderId="0"/>
    <xf numFmtId="0" fontId="13" fillId="0" borderId="0"/>
    <xf numFmtId="0" fontId="31"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2" fillId="0" borderId="0"/>
    <xf numFmtId="0" fontId="5" fillId="0" borderId="0"/>
    <xf numFmtId="0" fontId="13"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9" fontId="5" fillId="0" borderId="0" applyFont="0" applyFill="0" applyBorder="0" applyAlignment="0" applyProtection="0"/>
    <xf numFmtId="0" fontId="41" fillId="0" borderId="0"/>
    <xf numFmtId="49" fontId="33" fillId="0" borderId="29" applyFill="0" applyProtection="0">
      <alignment horizontal="right" vertical="top" wrapText="1"/>
    </xf>
    <xf numFmtId="49" fontId="13" fillId="0" borderId="29" applyFill="0" applyProtection="0">
      <alignment horizontal="right"/>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49" fontId="13" fillId="0" borderId="29" applyFill="0" applyProtection="0">
      <alignment horizontal="righ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40" fillId="37" borderId="0" applyNumberFormat="0" applyBorder="0" applyProtection="0">
      <alignment horizontal="lef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38" fillId="38" borderId="0" applyNumberFormat="0" applyBorder="0" applyProtection="0">
      <alignment horizontal="left"/>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34" fillId="36" borderId="29" applyNumberFormat="0" applyProtection="0">
      <alignment horizontal="righ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35" fillId="36"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4" fillId="36" borderId="29" applyNumberFormat="0" applyProtection="0">
      <alignment horizontal="left"/>
    </xf>
    <xf numFmtId="1" fontId="13" fillId="0" borderId="29" applyFill="0" applyProtection="0">
      <alignment horizontal="right" vertical="top" wrapText="1"/>
    </xf>
    <xf numFmtId="1" fontId="13" fillId="0" borderId="29" applyFill="0" applyProtection="0">
      <alignment horizontal="right" vertical="top" wrapText="1"/>
    </xf>
    <xf numFmtId="1" fontId="13" fillId="0" borderId="29" applyFill="0" applyProtection="0">
      <alignment horizontal="right" vertical="top" wrapText="1"/>
    </xf>
    <xf numFmtId="49" fontId="33" fillId="0" borderId="29" applyFill="0" applyProtection="0">
      <alignment horizontal="right"/>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0" fontId="36" fillId="37" borderId="0" applyNumberFormat="0" applyBorder="0" applyProtection="0">
      <alignment horizontal="left"/>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0" fontId="37" fillId="38" borderId="0" applyNumberFormat="0" applyBorder="0" applyProtection="0">
      <alignment horizontal="left"/>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1" fontId="33" fillId="0" borderId="29" applyFill="0" applyProtection="0">
      <alignment horizontal="right" vertical="top" wrapText="1"/>
    </xf>
    <xf numFmtId="2" fontId="33" fillId="0" borderId="29" applyFill="0" applyProtection="0">
      <alignment horizontal="right" vertical="top" wrapText="1"/>
    </xf>
    <xf numFmtId="0" fontId="33" fillId="0" borderId="29" applyFill="0" applyProtection="0">
      <alignment horizontal="right" vertical="top" wrapText="1"/>
    </xf>
    <xf numFmtId="49" fontId="3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40" fillId="37"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38" fillId="38" borderId="0" applyNumberFormat="0" applyBorder="0" applyProtection="0">
      <alignment horizontal="lef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1" fontId="13" fillId="0" borderId="29" applyFill="0" applyProtection="0">
      <alignment horizontal="right" vertical="top" wrapText="1"/>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34" fillId="36" borderId="29" applyNumberFormat="0" applyProtection="0">
      <alignment horizontal="righ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35" fillId="36"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4" fillId="36" borderId="29" applyNumberFormat="0" applyProtection="0">
      <alignment horizontal="left"/>
    </xf>
    <xf numFmtId="1" fontId="13" fillId="0" borderId="29" applyFill="0" applyProtection="0">
      <alignment horizontal="right" vertical="top" wrapText="1"/>
    </xf>
    <xf numFmtId="1" fontId="13" fillId="0" borderId="29" applyFill="0" applyProtection="0">
      <alignment horizontal="right" vertical="top" wrapText="1"/>
    </xf>
    <xf numFmtId="1" fontId="13" fillId="0" borderId="29" applyFill="0" applyProtection="0">
      <alignment horizontal="right" vertical="top" wrapText="1"/>
    </xf>
    <xf numFmtId="49" fontId="33" fillId="0" borderId="29" applyFill="0" applyProtection="0">
      <alignment horizontal="right"/>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0" fontId="36" fillId="37" borderId="0" applyNumberFormat="0" applyBorder="0" applyProtection="0">
      <alignment horizontal="left"/>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0" fontId="37" fillId="38" borderId="0" applyNumberFormat="0" applyBorder="0" applyProtection="0">
      <alignment horizontal="left"/>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1" fontId="33" fillId="0" borderId="29" applyFill="0" applyProtection="0">
      <alignment horizontal="right" vertical="top" wrapText="1"/>
    </xf>
    <xf numFmtId="2" fontId="33" fillId="0" borderId="29" applyFill="0" applyProtection="0">
      <alignment horizontal="right" vertical="top" wrapText="1"/>
    </xf>
    <xf numFmtId="0" fontId="33" fillId="0" borderId="29" applyFill="0" applyProtection="0">
      <alignment horizontal="right" vertical="top" wrapText="1"/>
    </xf>
    <xf numFmtId="49" fontId="3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1" fontId="13" fillId="0" borderId="29" applyFill="0" applyProtection="0">
      <alignment horizontal="right" vertical="top" wrapText="1"/>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2" fontId="13" fillId="0" borderId="29" applyFill="0" applyProtection="0">
      <alignment horizontal="right" vertical="top" wrapText="1"/>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34" fillId="36" borderId="29" applyNumberFormat="0" applyProtection="0">
      <alignment horizontal="right"/>
    </xf>
    <xf numFmtId="0" fontId="13" fillId="0" borderId="29" applyFill="0" applyProtection="0">
      <alignment horizontal="right" vertical="top" wrapText="1"/>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35" fillId="36"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34" fillId="36" borderId="29" applyNumberFormat="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4" fillId="36" borderId="29" applyNumberFormat="0" applyProtection="0">
      <alignment horizontal="left"/>
    </xf>
    <xf numFmtId="0" fontId="33" fillId="0" borderId="29" applyFill="0" applyProtection="0">
      <alignment horizontal="right" vertical="top" wrapText="1"/>
    </xf>
    <xf numFmtId="49" fontId="33" fillId="0" borderId="29" applyFill="0" applyProtection="0">
      <alignment horizontal="right"/>
    </xf>
    <xf numFmtId="1" fontId="13" fillId="0" borderId="29" applyFill="0" applyProtection="0">
      <alignment horizontal="right" vertical="top" wrapText="1"/>
    </xf>
    <xf numFmtId="1" fontId="13" fillId="0" borderId="29" applyFill="0" applyProtection="0">
      <alignment horizontal="right" vertical="top" wrapText="1"/>
    </xf>
    <xf numFmtId="1" fontId="13" fillId="0" borderId="29" applyFill="0" applyProtection="0">
      <alignment horizontal="right" vertical="top" wrapText="1"/>
    </xf>
    <xf numFmtId="0" fontId="36" fillId="37" borderId="0" applyNumberFormat="0" applyBorder="0" applyProtection="0">
      <alignment horizontal="left"/>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0" fontId="37" fillId="38" borderId="0" applyNumberFormat="0" applyBorder="0" applyProtection="0">
      <alignment horizontal="left"/>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1" fontId="3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2" fontId="33" fillId="0" borderId="29" applyFill="0" applyProtection="0">
      <alignment horizontal="right" vertical="top" wrapText="1"/>
    </xf>
    <xf numFmtId="0" fontId="33" fillId="0" borderId="29" applyFill="0" applyProtection="0">
      <alignment horizontal="right" vertical="top" wrapText="1"/>
    </xf>
    <xf numFmtId="49" fontId="33" fillId="0" borderId="29" applyFill="0" applyProtection="0">
      <alignment horizontal="right" vertical="top" wrapText="1"/>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1" fontId="13" fillId="0" borderId="29" applyFill="0" applyProtection="0">
      <alignment horizontal="right" vertical="top" wrapText="1"/>
    </xf>
    <xf numFmtId="2" fontId="13" fillId="0" borderId="29" applyFill="0" applyProtection="0">
      <alignment horizontal="right" vertical="top" wrapText="1"/>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13" fillId="0" borderId="29" applyFill="0" applyProtection="0">
      <alignment horizontal="right" vertical="top" wrapText="1"/>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34" fillId="36" borderId="29" applyNumberFormat="0" applyProtection="0">
      <alignment horizontal="righ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35" fillId="36" borderId="0" applyNumberFormat="0" applyBorder="0" applyProtection="0">
      <alignment horizontal="left"/>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34" fillId="36" borderId="29" applyNumberFormat="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49" fontId="33" fillId="0" borderId="29" applyFill="0" applyProtection="0">
      <alignment horizontal="righ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6" fillId="37" borderId="0" applyNumberFormat="0" applyBorder="0" applyProtection="0">
      <alignment horizontal="left"/>
    </xf>
    <xf numFmtId="1" fontId="13" fillId="0" borderId="29" applyFill="0" applyProtection="0">
      <alignment horizontal="right" vertical="top" wrapText="1"/>
    </xf>
    <xf numFmtId="1" fontId="13" fillId="0" borderId="29" applyFill="0" applyProtection="0">
      <alignment horizontal="right" vertical="top" wrapText="1"/>
    </xf>
    <xf numFmtId="1" fontId="13" fillId="0" borderId="29" applyFill="0" applyProtection="0">
      <alignment horizontal="right" vertical="top" wrapText="1"/>
    </xf>
    <xf numFmtId="0" fontId="37" fillId="38" borderId="0" applyNumberFormat="0" applyBorder="0" applyProtection="0">
      <alignment horizontal="left"/>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1" fontId="33" fillId="0" borderId="29" applyFill="0" applyProtection="0">
      <alignment horizontal="right" vertical="top" wrapText="1"/>
    </xf>
    <xf numFmtId="0" fontId="12" fillId="36" borderId="29" applyNumberFormat="0" applyProtection="0">
      <alignment horizontal="right"/>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2" fontId="33" fillId="0" borderId="29" applyFill="0" applyProtection="0">
      <alignment horizontal="right" vertical="top" wrapText="1"/>
    </xf>
    <xf numFmtId="0" fontId="39" fillId="36" borderId="0" applyNumberFormat="0" applyBorder="0" applyProtection="0">
      <alignment horizontal="left"/>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0" fontId="33" fillId="0" borderId="29" applyFill="0" applyProtection="0">
      <alignment horizontal="right" vertical="top" wrapText="1"/>
    </xf>
    <xf numFmtId="0" fontId="12" fillId="36" borderId="29" applyNumberFormat="0" applyProtection="0">
      <alignment horizontal="left"/>
    </xf>
    <xf numFmtId="49" fontId="33" fillId="0" borderId="29" applyFill="0" applyProtection="0">
      <alignment horizontal="right" vertical="top" wrapText="1"/>
    </xf>
    <xf numFmtId="49" fontId="13" fillId="0" borderId="29" applyFill="0" applyProtection="0">
      <alignment horizontal="righ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1" fontId="13" fillId="0" borderId="29" applyFill="0" applyProtection="0">
      <alignment horizontal="right" vertical="top" wrapText="1"/>
    </xf>
    <xf numFmtId="0" fontId="38" fillId="38" borderId="0" applyNumberFormat="0" applyBorder="0" applyProtection="0">
      <alignment horizontal="left"/>
    </xf>
    <xf numFmtId="0" fontId="33" fillId="0" borderId="29" applyFill="0" applyProtection="0">
      <alignment horizontal="right" vertical="top" wrapText="1"/>
    </xf>
    <xf numFmtId="1" fontId="13" fillId="0" borderId="29" applyFill="0" applyProtection="0">
      <alignment horizontal="right" vertical="top" wrapText="1"/>
    </xf>
    <xf numFmtId="2" fontId="13" fillId="0" borderId="29" applyFill="0" applyProtection="0">
      <alignment horizontal="right" vertical="top" wrapText="1"/>
    </xf>
    <xf numFmtId="0" fontId="13" fillId="0" borderId="29" applyFill="0" applyProtection="0">
      <alignment horizontal="right" vertical="top" wrapText="1"/>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34" fillId="36" borderId="29" applyNumberFormat="0" applyProtection="0">
      <alignment horizontal="righ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35" fillId="36" borderId="0" applyNumberFormat="0" applyBorder="0" applyProtection="0">
      <alignment horizontal="left"/>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34" fillId="36" borderId="29" applyNumberFormat="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49" fontId="33" fillId="0" borderId="29" applyFill="0" applyProtection="0">
      <alignment horizontal="righ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6" fillId="37" borderId="0" applyNumberFormat="0" applyBorder="0" applyProtection="0">
      <alignment horizontal="left"/>
    </xf>
    <xf numFmtId="1" fontId="13" fillId="0" borderId="29" applyFill="0" applyProtection="0">
      <alignment horizontal="right" vertical="top" wrapText="1"/>
    </xf>
    <xf numFmtId="1" fontId="13" fillId="0" borderId="29" applyFill="0" applyProtection="0">
      <alignment horizontal="right" vertical="top" wrapText="1"/>
    </xf>
    <xf numFmtId="1" fontId="13" fillId="0" borderId="29" applyFill="0" applyProtection="0">
      <alignment horizontal="right" vertical="top" wrapText="1"/>
    </xf>
    <xf numFmtId="0" fontId="37" fillId="38" borderId="0" applyNumberFormat="0" applyBorder="0" applyProtection="0">
      <alignment horizontal="left"/>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1" fontId="3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2" fontId="3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0" fontId="33" fillId="0" borderId="29" applyFill="0" applyProtection="0">
      <alignment horizontal="right" vertical="top" wrapText="1"/>
    </xf>
    <xf numFmtId="49" fontId="33" fillId="0" borderId="29" applyFill="0" applyProtection="0">
      <alignment horizontal="right" vertical="top" wrapText="1"/>
    </xf>
    <xf numFmtId="0" fontId="40" fillId="37" borderId="0" applyNumberFormat="0" applyBorder="0" applyProtection="0">
      <alignment horizontal="left"/>
    </xf>
    <xf numFmtId="0" fontId="38" fillId="38" borderId="0" applyNumberFormat="0" applyBorder="0" applyProtection="0">
      <alignment horizontal="left"/>
    </xf>
    <xf numFmtId="1" fontId="13" fillId="0" borderId="29" applyFill="0" applyProtection="0">
      <alignment horizontal="right" vertical="top" wrapText="1"/>
    </xf>
    <xf numFmtId="2" fontId="13" fillId="0" borderId="29" applyFill="0" applyProtection="0">
      <alignment horizontal="right" vertical="top" wrapText="1"/>
    </xf>
    <xf numFmtId="0" fontId="13" fillId="0" borderId="29" applyFill="0" applyProtection="0">
      <alignment horizontal="right" vertical="top" wrapText="1"/>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34" fillId="36" borderId="29" applyNumberFormat="0" applyProtection="0">
      <alignment horizontal="righ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35" fillId="36" borderId="0" applyNumberFormat="0" applyBorder="0" applyProtection="0">
      <alignment horizontal="left"/>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34" fillId="36" borderId="29" applyNumberFormat="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49" fontId="33" fillId="0" borderId="29" applyFill="0" applyProtection="0">
      <alignment horizontal="righ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6" fillId="37" borderId="0" applyNumberFormat="0" applyBorder="0" applyProtection="0">
      <alignment horizontal="left"/>
    </xf>
    <xf numFmtId="1" fontId="13" fillId="0" borderId="29" applyFill="0" applyProtection="0">
      <alignment horizontal="right" vertical="top" wrapText="1"/>
    </xf>
    <xf numFmtId="1" fontId="13" fillId="0" borderId="29" applyFill="0" applyProtection="0">
      <alignment horizontal="right" vertical="top" wrapText="1"/>
    </xf>
    <xf numFmtId="1" fontId="13" fillId="0" borderId="29" applyFill="0" applyProtection="0">
      <alignment horizontal="right" vertical="top" wrapText="1"/>
    </xf>
    <xf numFmtId="0" fontId="37" fillId="38" borderId="0" applyNumberFormat="0" applyBorder="0" applyProtection="0">
      <alignment horizontal="left"/>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1" fontId="3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2" fontId="3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0" fontId="33" fillId="0" borderId="29" applyFill="0" applyProtection="0">
      <alignment horizontal="right" vertical="top" wrapText="1"/>
    </xf>
    <xf numFmtId="49" fontId="33" fillId="0" borderId="29" applyFill="0" applyProtection="0">
      <alignment horizontal="right" vertical="top" wrapText="1"/>
    </xf>
    <xf numFmtId="49" fontId="13" fillId="0" borderId="29" applyFill="0" applyProtection="0">
      <alignment horizontal="right" vertical="top" wrapText="1"/>
    </xf>
    <xf numFmtId="0" fontId="34"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35"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12" fillId="36" borderId="29" applyNumberFormat="0" applyProtection="0">
      <alignment horizontal="righ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34"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39" fillId="36"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49" fontId="3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12" fillId="36" borderId="29" applyNumberFormat="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36"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49" fontId="13" fillId="0" borderId="29" applyFill="0" applyProtection="0">
      <alignment horizontal="righ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0" fontId="37"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1" fontId="33" fillId="0" borderId="29" applyFill="0" applyProtection="0">
      <alignment horizontal="right" vertical="top" wrapText="1"/>
    </xf>
    <xf numFmtId="1" fontId="13" fillId="0" borderId="29" applyFill="0" applyProtection="0">
      <alignment horizontal="right" vertical="top" wrapText="1"/>
    </xf>
    <xf numFmtId="1" fontId="13" fillId="0" borderId="29" applyFill="0" applyProtection="0">
      <alignment horizontal="right" vertical="top" wrapText="1"/>
    </xf>
    <xf numFmtId="1" fontId="13" fillId="0" borderId="29" applyFill="0" applyProtection="0">
      <alignment horizontal="right" vertical="top" wrapText="1"/>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2" fontId="3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3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49" fontId="3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0" fontId="40" fillId="37"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0" fontId="12" fillId="36" borderId="29" applyNumberFormat="0" applyProtection="0">
      <alignment horizontal="righ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0" fontId="39" fillId="36" borderId="0" applyNumberFormat="0" applyBorder="0" applyProtection="0">
      <alignment horizontal="left"/>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12" fillId="36" borderId="29" applyNumberFormat="0" applyProtection="0">
      <alignment horizontal="righ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39" fillId="36" borderId="0" applyNumberFormat="0" applyBorder="0" applyProtection="0">
      <alignment horizontal="lef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34" fillId="36" borderId="29" applyNumberFormat="0" applyProtection="0">
      <alignment horizontal="righ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35" fillId="36" borderId="0" applyNumberFormat="0" applyBorder="0" applyProtection="0">
      <alignment horizontal="lef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40" fillId="37"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4" fillId="36" borderId="29" applyNumberFormat="0" applyProtection="0">
      <alignment horizontal="left"/>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49" fontId="33" fillId="0" borderId="29" applyFill="0" applyProtection="0">
      <alignment horizontal="righ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36" fillId="37"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7" fillId="38" borderId="0" applyNumberFormat="0" applyBorder="0" applyProtection="0">
      <alignment horizontal="left"/>
    </xf>
    <xf numFmtId="1" fontId="13" fillId="0" borderId="29" applyFill="0" applyProtection="0">
      <alignment horizontal="right" vertical="top" wrapText="1"/>
    </xf>
    <xf numFmtId="1" fontId="13" fillId="0" borderId="29" applyFill="0" applyProtection="0">
      <alignment horizontal="right" vertical="top" wrapText="1"/>
    </xf>
    <xf numFmtId="1" fontId="13" fillId="0" borderId="29" applyFill="0" applyProtection="0">
      <alignment horizontal="right" vertical="top" wrapText="1"/>
    </xf>
    <xf numFmtId="0" fontId="38" fillId="38"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1" fontId="3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2" fontId="3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3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49" fontId="33" fillId="0" borderId="29" applyFill="0" applyProtection="0">
      <alignment horizontal="right" vertical="top" wrapText="1"/>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40" fillId="37" borderId="0" applyNumberFormat="0" applyBorder="0" applyProtection="0">
      <alignment horizontal="lef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49" fontId="1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49" fontId="13" fillId="0" borderId="29" applyFill="0" applyProtection="0">
      <alignment horizontal="right"/>
    </xf>
    <xf numFmtId="0" fontId="40" fillId="37" borderId="0" applyNumberFormat="0" applyBorder="0" applyProtection="0">
      <alignment horizontal="left"/>
    </xf>
    <xf numFmtId="0" fontId="38" fillId="38" borderId="0" applyNumberFormat="0" applyBorder="0" applyProtection="0">
      <alignment horizontal="lef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34" fillId="36" borderId="29" applyNumberFormat="0" applyProtection="0">
      <alignment horizontal="right"/>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35" fillId="36"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34" fillId="36" borderId="29" applyNumberFormat="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49" fontId="33" fillId="0" borderId="29" applyFill="0" applyProtection="0">
      <alignment horizontal="right"/>
    </xf>
    <xf numFmtId="1" fontId="13" fillId="0" borderId="29" applyFill="0" applyProtection="0">
      <alignment horizontal="right" vertical="top" wrapText="1"/>
    </xf>
    <xf numFmtId="1" fontId="13" fillId="0" borderId="29" applyFill="0" applyProtection="0">
      <alignment horizontal="right" vertical="top" wrapText="1"/>
    </xf>
    <xf numFmtId="0" fontId="36" fillId="37" borderId="0" applyNumberFormat="0" applyBorder="0" applyProtection="0">
      <alignment horizontal="left"/>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0" fontId="37" fillId="38" borderId="0" applyNumberFormat="0" applyBorder="0" applyProtection="0">
      <alignment horizontal="left"/>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1" fontId="3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2" fontId="33" fillId="0" borderId="29" applyFill="0" applyProtection="0">
      <alignment horizontal="right" vertical="top" wrapText="1"/>
    </xf>
    <xf numFmtId="0" fontId="33" fillId="0" borderId="29" applyFill="0" applyProtection="0">
      <alignment horizontal="right" vertical="top" wrapText="1"/>
    </xf>
    <xf numFmtId="49" fontId="33" fillId="0" borderId="29" applyFill="0" applyProtection="0">
      <alignment horizontal="right" vertical="top" wrapText="1"/>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lef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34" fillId="36" borderId="29" applyNumberFormat="0" applyProtection="0">
      <alignment horizontal="righ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35" fillId="36"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4" fillId="36" borderId="29" applyNumberFormat="0" applyProtection="0">
      <alignment horizontal="left"/>
    </xf>
    <xf numFmtId="1" fontId="13" fillId="0" borderId="29" applyFill="0" applyProtection="0">
      <alignment horizontal="right" vertical="top" wrapText="1"/>
    </xf>
    <xf numFmtId="1" fontId="13" fillId="0" borderId="29" applyFill="0" applyProtection="0">
      <alignment horizontal="right" vertical="top" wrapText="1"/>
    </xf>
    <xf numFmtId="49" fontId="33" fillId="0" borderId="29" applyFill="0" applyProtection="0">
      <alignment horizontal="right"/>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0" fontId="36" fillId="37" borderId="0" applyNumberFormat="0" applyBorder="0" applyProtection="0">
      <alignment horizontal="left"/>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0" fontId="37" fillId="38" borderId="0" applyNumberFormat="0" applyBorder="0" applyProtection="0">
      <alignment horizontal="left"/>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1" fontId="33" fillId="0" borderId="29" applyFill="0" applyProtection="0">
      <alignment horizontal="right" vertical="top" wrapText="1"/>
    </xf>
    <xf numFmtId="2" fontId="33" fillId="0" borderId="29" applyFill="0" applyProtection="0">
      <alignment horizontal="right" vertical="top" wrapText="1"/>
    </xf>
    <xf numFmtId="0" fontId="33" fillId="0" borderId="29" applyFill="0" applyProtection="0">
      <alignment horizontal="right" vertical="top" wrapText="1"/>
    </xf>
    <xf numFmtId="49" fontId="33" fillId="0" borderId="29" applyFill="0" applyProtection="0">
      <alignment horizontal="right" vertical="top" wrapText="1"/>
    </xf>
    <xf numFmtId="0" fontId="39" fillId="36" borderId="0" applyNumberFormat="0" applyBorder="0" applyProtection="0">
      <alignment horizontal="left"/>
    </xf>
    <xf numFmtId="0" fontId="12" fillId="36" borderId="29" applyNumberFormat="0" applyProtection="0">
      <alignment horizontal="left"/>
    </xf>
    <xf numFmtId="0" fontId="12" fillId="36" borderId="29" applyNumberFormat="0" applyProtection="0">
      <alignment horizontal="right"/>
    </xf>
    <xf numFmtId="0" fontId="39" fillId="36" borderId="0" applyNumberFormat="0" applyBorder="0" applyProtection="0">
      <alignment horizontal="lef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right"/>
    </xf>
    <xf numFmtId="0" fontId="12" fillId="36" borderId="29" applyNumberFormat="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0" fontId="39" fillId="36" borderId="0" applyNumberFormat="0" applyBorder="0" applyProtection="0">
      <alignment horizontal="left"/>
    </xf>
    <xf numFmtId="49" fontId="13" fillId="0" borderId="29" applyFill="0" applyProtection="0">
      <alignment horizontal="right"/>
    </xf>
    <xf numFmtId="0" fontId="12" fillId="36" borderId="29" applyNumberFormat="0" applyProtection="0">
      <alignment horizontal="left"/>
    </xf>
    <xf numFmtId="0" fontId="12" fillId="36" borderId="29" applyNumberFormat="0" applyProtection="0">
      <alignment horizontal="left"/>
    </xf>
    <xf numFmtId="0" fontId="12" fillId="36" borderId="29" applyNumberFormat="0" applyProtection="0">
      <alignment horizontal="left"/>
    </xf>
    <xf numFmtId="0" fontId="40" fillId="37" borderId="0" applyNumberFormat="0" applyBorder="0" applyProtection="0">
      <alignment horizontal="left"/>
    </xf>
    <xf numFmtId="49" fontId="13" fillId="0" borderId="29" applyFill="0" applyProtection="0">
      <alignment horizontal="right"/>
    </xf>
    <xf numFmtId="49" fontId="13" fillId="0" borderId="29" applyFill="0" applyProtection="0">
      <alignment horizontal="right"/>
    </xf>
    <xf numFmtId="49" fontId="13" fillId="0" borderId="29" applyFill="0" applyProtection="0">
      <alignment horizontal="right"/>
    </xf>
    <xf numFmtId="0" fontId="34" fillId="36" borderId="29" applyNumberFormat="0" applyProtection="0">
      <alignment horizontal="right"/>
    </xf>
    <xf numFmtId="0" fontId="40" fillId="37" borderId="0" applyNumberFormat="0" applyBorder="0" applyProtection="0">
      <alignment horizontal="left"/>
    </xf>
    <xf numFmtId="0" fontId="40" fillId="37" borderId="0" applyNumberFormat="0" applyBorder="0" applyProtection="0">
      <alignment horizontal="left"/>
    </xf>
    <xf numFmtId="0" fontId="40" fillId="37" borderId="0" applyNumberFormat="0" applyBorder="0" applyProtection="0">
      <alignment horizontal="left"/>
    </xf>
    <xf numFmtId="0" fontId="35" fillId="36"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8" fillId="38" borderId="0" applyNumberFormat="0" applyBorder="0" applyProtection="0">
      <alignment horizontal="left"/>
    </xf>
    <xf numFmtId="0" fontId="34" fillId="36" borderId="29" applyNumberFormat="0" applyProtection="0">
      <alignment horizontal="left"/>
    </xf>
    <xf numFmtId="1" fontId="13" fillId="0" borderId="29" applyFill="0" applyProtection="0">
      <alignment horizontal="right" vertical="top" wrapText="1"/>
    </xf>
    <xf numFmtId="1" fontId="13" fillId="0" borderId="29" applyFill="0" applyProtection="0">
      <alignment horizontal="right" vertical="top" wrapText="1"/>
    </xf>
    <xf numFmtId="1" fontId="13" fillId="0" borderId="29" applyFill="0" applyProtection="0">
      <alignment horizontal="right" vertical="top" wrapText="1"/>
    </xf>
    <xf numFmtId="49" fontId="33" fillId="0" borderId="29" applyFill="0" applyProtection="0">
      <alignment horizontal="right"/>
    </xf>
    <xf numFmtId="2" fontId="13" fillId="0" borderId="29" applyFill="0" applyProtection="0">
      <alignment horizontal="right" vertical="top" wrapText="1"/>
    </xf>
    <xf numFmtId="2" fontId="13" fillId="0" borderId="29" applyFill="0" applyProtection="0">
      <alignment horizontal="right" vertical="top" wrapText="1"/>
    </xf>
    <xf numFmtId="2" fontId="13" fillId="0" borderId="29" applyFill="0" applyProtection="0">
      <alignment horizontal="right" vertical="top" wrapText="1"/>
    </xf>
    <xf numFmtId="0" fontId="36" fillId="37" borderId="0" applyNumberFormat="0" applyBorder="0" applyProtection="0">
      <alignment horizontal="left"/>
    </xf>
    <xf numFmtId="0" fontId="13" fillId="0" borderId="29" applyFill="0" applyProtection="0">
      <alignment horizontal="right" vertical="top" wrapText="1"/>
    </xf>
    <xf numFmtId="0" fontId="13" fillId="0" borderId="29" applyFill="0" applyProtection="0">
      <alignment horizontal="right" vertical="top" wrapText="1"/>
    </xf>
    <xf numFmtId="0" fontId="13" fillId="0" borderId="29" applyFill="0" applyProtection="0">
      <alignment horizontal="right" vertical="top" wrapText="1"/>
    </xf>
    <xf numFmtId="0" fontId="37" fillId="38" borderId="0" applyNumberFormat="0" applyBorder="0" applyProtection="0">
      <alignment horizontal="left"/>
    </xf>
    <xf numFmtId="49" fontId="13" fillId="0" borderId="29" applyFill="0" applyProtection="0">
      <alignment horizontal="right" vertical="top" wrapText="1"/>
    </xf>
    <xf numFmtId="49" fontId="13" fillId="0" borderId="29" applyFill="0" applyProtection="0">
      <alignment horizontal="right" vertical="top" wrapText="1"/>
    </xf>
    <xf numFmtId="49" fontId="13" fillId="0" borderId="29" applyFill="0" applyProtection="0">
      <alignment horizontal="right" vertical="top" wrapText="1"/>
    </xf>
    <xf numFmtId="1" fontId="33" fillId="0" borderId="29" applyFill="0" applyProtection="0">
      <alignment horizontal="right" vertical="top" wrapText="1"/>
    </xf>
    <xf numFmtId="2" fontId="33" fillId="0" borderId="29" applyFill="0" applyProtection="0">
      <alignment horizontal="right" vertical="top" wrapText="1"/>
    </xf>
    <xf numFmtId="0" fontId="33" fillId="0" borderId="29" applyFill="0" applyProtection="0">
      <alignment horizontal="right" vertical="top" wrapText="1"/>
    </xf>
    <xf numFmtId="0" fontId="29" fillId="0" borderId="0"/>
    <xf numFmtId="0" fontId="5" fillId="0" borderId="0" applyFont="0" applyFill="0" applyBorder="0" applyAlignment="0" applyProtection="0"/>
    <xf numFmtId="43" fontId="5" fillId="0" borderId="0" applyFont="0" applyFill="0" applyBorder="0" applyAlignment="0" applyProtection="0"/>
    <xf numFmtId="0" fontId="43" fillId="0" borderId="0" applyNumberFormat="0" applyFill="0" applyBorder="0" applyAlignment="0" applyProtection="0">
      <alignment vertical="top"/>
      <protection locked="0"/>
    </xf>
    <xf numFmtId="43" fontId="5" fillId="0" borderId="0" applyFont="0" applyFill="0" applyBorder="0" applyAlignment="0" applyProtection="0"/>
    <xf numFmtId="0" fontId="13" fillId="0" borderId="0"/>
    <xf numFmtId="165" fontId="5" fillId="0" borderId="0" applyFont="0" applyFill="0" applyBorder="0" applyAlignment="0" applyProtection="0"/>
    <xf numFmtId="0" fontId="13" fillId="0" borderId="0">
      <alignment vertical="center"/>
    </xf>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1233">
    <xf numFmtId="0" fontId="0" fillId="0" borderId="0" xfId="0"/>
    <xf numFmtId="0" fontId="3" fillId="0" borderId="0" xfId="0" applyFont="1"/>
    <xf numFmtId="0" fontId="0" fillId="0" borderId="0" xfId="0" applyAlignment="1">
      <alignment horizontal="center"/>
    </xf>
    <xf numFmtId="0" fontId="4" fillId="0" borderId="1" xfId="0" applyFont="1" applyBorder="1"/>
    <xf numFmtId="0" fontId="4" fillId="0" borderId="0" xfId="0" applyFont="1"/>
    <xf numFmtId="0" fontId="1" fillId="0" borderId="3" xfId="0" applyFont="1" applyBorder="1"/>
    <xf numFmtId="0" fontId="0" fillId="0" borderId="5" xfId="0" applyBorder="1"/>
    <xf numFmtId="0" fontId="0" fillId="0" borderId="7" xfId="0" applyBorder="1"/>
    <xf numFmtId="0" fontId="6" fillId="0" borderId="9" xfId="0" applyFont="1" applyBorder="1"/>
    <xf numFmtId="0" fontId="0" fillId="0" borderId="1" xfId="0" applyBorder="1"/>
    <xf numFmtId="166" fontId="0" fillId="0" borderId="0" xfId="0" applyNumberFormat="1" applyAlignment="1">
      <alignment horizontal="center"/>
    </xf>
    <xf numFmtId="0" fontId="0" fillId="2" borderId="0" xfId="0" applyFill="1"/>
    <xf numFmtId="0" fontId="1" fillId="2" borderId="1" xfId="0" applyFont="1" applyFill="1" applyBorder="1" applyAlignment="1">
      <alignment horizontal="center"/>
    </xf>
    <xf numFmtId="0" fontId="0" fillId="0" borderId="0" xfId="0" applyAlignment="1">
      <alignment horizontal="left"/>
    </xf>
    <xf numFmtId="0" fontId="1" fillId="0" borderId="5" xfId="0" applyFont="1" applyBorder="1"/>
    <xf numFmtId="0" fontId="0" fillId="0" borderId="0" xfId="0" applyAlignment="1">
      <alignment horizontal="center" vertical="center"/>
    </xf>
    <xf numFmtId="166" fontId="1" fillId="2" borderId="10" xfId="2" applyNumberFormat="1" applyFont="1" applyFill="1" applyBorder="1" applyAlignment="1">
      <alignment horizontal="center" vertical="center"/>
    </xf>
    <xf numFmtId="166" fontId="1" fillId="2" borderId="6" xfId="2" applyNumberFormat="1" applyFont="1" applyFill="1" applyBorder="1" applyAlignment="1">
      <alignment horizontal="center" vertical="center"/>
    </xf>
    <xf numFmtId="166" fontId="0" fillId="0" borderId="0" xfId="0" applyNumberFormat="1" applyAlignment="1">
      <alignment horizontal="center" vertical="center"/>
    </xf>
    <xf numFmtId="0" fontId="11" fillId="0" borderId="0" xfId="0" applyFont="1"/>
    <xf numFmtId="0" fontId="1" fillId="0" borderId="2" xfId="0" applyFont="1" applyBorder="1"/>
    <xf numFmtId="166" fontId="1" fillId="2" borderId="0" xfId="2" applyNumberFormat="1" applyFont="1" applyFill="1" applyBorder="1" applyAlignment="1">
      <alignment horizontal="center" vertical="center"/>
    </xf>
    <xf numFmtId="0" fontId="0" fillId="0" borderId="1" xfId="0" applyBorder="1" applyAlignment="1">
      <alignment horizontal="center"/>
    </xf>
    <xf numFmtId="0" fontId="4" fillId="0" borderId="0" xfId="0" applyFont="1" applyAlignment="1">
      <alignment horizontal="left"/>
    </xf>
    <xf numFmtId="0" fontId="26" fillId="0" borderId="0" xfId="0" applyFont="1"/>
    <xf numFmtId="0" fontId="7" fillId="2" borderId="0" xfId="0" applyFont="1" applyFill="1"/>
    <xf numFmtId="0" fontId="0" fillId="0" borderId="6" xfId="0" applyBorder="1"/>
    <xf numFmtId="0" fontId="1" fillId="3" borderId="6" xfId="0" applyFont="1" applyFill="1" applyBorder="1"/>
    <xf numFmtId="0" fontId="0" fillId="0" borderId="8" xfId="0" applyBorder="1"/>
    <xf numFmtId="0" fontId="7" fillId="0" borderId="0" xfId="0" applyFont="1"/>
    <xf numFmtId="0" fontId="1" fillId="0" borderId="0" xfId="0" applyFont="1"/>
    <xf numFmtId="0" fontId="1" fillId="0" borderId="7" xfId="0" applyFont="1" applyBorder="1"/>
    <xf numFmtId="0" fontId="1" fillId="0" borderId="8" xfId="0" applyFont="1" applyBorder="1"/>
    <xf numFmtId="0" fontId="1" fillId="0" borderId="0" xfId="0" applyFont="1" applyAlignment="1">
      <alignment horizontal="right"/>
    </xf>
    <xf numFmtId="0" fontId="45" fillId="0" borderId="0" xfId="0" applyFont="1"/>
    <xf numFmtId="1" fontId="7" fillId="0" borderId="0" xfId="0" applyNumberFormat="1" applyFont="1"/>
    <xf numFmtId="0" fontId="1" fillId="0" borderId="18" xfId="0" applyFont="1" applyBorder="1" applyAlignment="1">
      <alignment horizontal="left"/>
    </xf>
    <xf numFmtId="0" fontId="7" fillId="0" borderId="0" xfId="0" applyFont="1" applyAlignment="1">
      <alignment horizontal="center"/>
    </xf>
    <xf numFmtId="1" fontId="7" fillId="0" borderId="6" xfId="0" applyNumberFormat="1" applyFont="1" applyBorder="1" applyAlignment="1">
      <alignment horizontal="center"/>
    </xf>
    <xf numFmtId="1" fontId="7" fillId="0" borderId="0" xfId="0" applyNumberFormat="1" applyFont="1" applyAlignment="1">
      <alignment horizontal="center"/>
    </xf>
    <xf numFmtId="0" fontId="2" fillId="0" borderId="0" xfId="1" applyAlignment="1">
      <alignment horizontal="left" vertical="center"/>
    </xf>
    <xf numFmtId="0" fontId="10" fillId="0" borderId="5" xfId="0" applyFont="1" applyBorder="1" applyAlignment="1">
      <alignment horizontal="left"/>
    </xf>
    <xf numFmtId="0" fontId="10" fillId="0" borderId="7" xfId="0" applyFont="1" applyBorder="1" applyAlignment="1">
      <alignment horizontal="left"/>
    </xf>
    <xf numFmtId="0" fontId="0" fillId="0" borderId="0" xfId="0" applyAlignment="1">
      <alignment horizontal="left" vertical="center"/>
    </xf>
    <xf numFmtId="166" fontId="26" fillId="2" borderId="0" xfId="2" applyNumberFormat="1" applyFont="1" applyFill="1" applyBorder="1" applyAlignment="1">
      <alignment horizontal="center" vertical="center"/>
    </xf>
    <xf numFmtId="166" fontId="26" fillId="2" borderId="6" xfId="2" applyNumberFormat="1" applyFont="1" applyFill="1" applyBorder="1" applyAlignment="1">
      <alignment horizontal="center" vertical="center"/>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166" fontId="26" fillId="2" borderId="10" xfId="2" applyNumberFormat="1" applyFont="1" applyFill="1" applyBorder="1" applyAlignment="1">
      <alignment horizontal="center" vertical="center"/>
    </xf>
    <xf numFmtId="0" fontId="26" fillId="2" borderId="11" xfId="0" applyFont="1" applyFill="1" applyBorder="1" applyAlignment="1">
      <alignment horizontal="center" vertical="center"/>
    </xf>
    <xf numFmtId="0" fontId="48" fillId="0" borderId="0" xfId="0" quotePrefix="1" applyFont="1" applyAlignment="1">
      <alignment vertical="center"/>
    </xf>
    <xf numFmtId="0" fontId="4" fillId="0" borderId="0" xfId="0" applyFont="1" applyAlignment="1">
      <alignment horizontal="center"/>
    </xf>
    <xf numFmtId="0" fontId="1" fillId="0" borderId="9" xfId="0" applyFont="1" applyBorder="1" applyAlignment="1">
      <alignment horizontal="center" vertical="center"/>
    </xf>
    <xf numFmtId="0" fontId="49" fillId="0" borderId="5" xfId="0" applyFont="1" applyBorder="1"/>
    <xf numFmtId="0" fontId="49" fillId="0" borderId="0" xfId="0" applyFont="1"/>
    <xf numFmtId="0" fontId="49" fillId="0" borderId="0" xfId="0" applyFont="1" applyAlignment="1">
      <alignment horizontal="center"/>
    </xf>
    <xf numFmtId="0" fontId="49" fillId="42" borderId="5" xfId="0" applyFont="1" applyFill="1" applyBorder="1"/>
    <xf numFmtId="0" fontId="51" fillId="0" borderId="0" xfId="0" applyFont="1" applyAlignment="1">
      <alignment wrapText="1"/>
    </xf>
    <xf numFmtId="0" fontId="0" fillId="0" borderId="0" xfId="0" applyAlignment="1">
      <alignment wrapText="1"/>
    </xf>
    <xf numFmtId="0" fontId="0" fillId="0" borderId="9" xfId="0" applyBorder="1"/>
    <xf numFmtId="0" fontId="1" fillId="0" borderId="9" xfId="0" applyFont="1" applyBorder="1" applyAlignment="1">
      <alignment horizontal="center" vertical="center" wrapText="1"/>
    </xf>
    <xf numFmtId="9" fontId="0" fillId="0" borderId="0" xfId="3" applyFont="1" applyFill="1" applyBorder="1"/>
    <xf numFmtId="0" fontId="2" fillId="0" borderId="0" xfId="1"/>
    <xf numFmtId="1" fontId="0" fillId="0" borderId="0" xfId="0" applyNumberFormat="1" applyAlignment="1">
      <alignment horizontal="center" vertical="center"/>
    </xf>
    <xf numFmtId="166" fontId="10" fillId="3" borderId="0" xfId="2" applyNumberFormat="1" applyFont="1" applyFill="1" applyBorder="1" applyAlignment="1">
      <alignment horizontal="center" vertical="center"/>
    </xf>
    <xf numFmtId="166" fontId="10" fillId="3" borderId="10" xfId="2" applyNumberFormat="1" applyFont="1" applyFill="1" applyBorder="1" applyAlignment="1">
      <alignment horizontal="center" vertical="center"/>
    </xf>
    <xf numFmtId="166" fontId="10" fillId="3" borderId="6" xfId="2" applyNumberFormat="1" applyFont="1" applyFill="1" applyBorder="1" applyAlignment="1">
      <alignment horizontal="center" vertical="center"/>
    </xf>
    <xf numFmtId="166" fontId="7" fillId="0" borderId="0" xfId="2" applyNumberFormat="1" applyFont="1" applyFill="1" applyBorder="1" applyAlignment="1">
      <alignment horizontal="center" vertical="center"/>
    </xf>
    <xf numFmtId="166" fontId="7" fillId="0" borderId="10" xfId="2" applyNumberFormat="1" applyFont="1" applyFill="1" applyBorder="1" applyAlignment="1">
      <alignment horizontal="center" vertical="center"/>
    </xf>
    <xf numFmtId="166" fontId="7" fillId="0" borderId="6" xfId="2" applyNumberFormat="1" applyFont="1" applyFill="1" applyBorder="1" applyAlignment="1">
      <alignment horizontal="center" vertical="center"/>
    </xf>
    <xf numFmtId="166" fontId="7" fillId="2" borderId="0" xfId="2" applyNumberFormat="1" applyFont="1" applyFill="1" applyBorder="1" applyAlignment="1">
      <alignment horizontal="center" vertical="center"/>
    </xf>
    <xf numFmtId="166" fontId="7" fillId="2" borderId="10" xfId="2" applyNumberFormat="1" applyFont="1" applyFill="1" applyBorder="1" applyAlignment="1">
      <alignment horizontal="center" vertical="center"/>
    </xf>
    <xf numFmtId="166" fontId="7" fillId="2" borderId="6" xfId="2" applyNumberFormat="1" applyFont="1" applyFill="1" applyBorder="1" applyAlignment="1">
      <alignment horizontal="center" vertical="center"/>
    </xf>
    <xf numFmtId="0" fontId="53" fillId="0" borderId="0" xfId="0" applyFont="1"/>
    <xf numFmtId="0" fontId="3" fillId="0" borderId="1" xfId="0" applyFont="1" applyBorder="1"/>
    <xf numFmtId="0" fontId="10" fillId="0" borderId="0" xfId="0" applyFont="1" applyAlignment="1">
      <alignment horizontal="left"/>
    </xf>
    <xf numFmtId="1" fontId="0" fillId="0" borderId="0" xfId="0" applyNumberFormat="1"/>
    <xf numFmtId="167" fontId="0" fillId="0" borderId="0" xfId="0" applyNumberFormat="1"/>
    <xf numFmtId="0" fontId="44" fillId="48" borderId="16" xfId="0" applyFont="1" applyFill="1" applyBorder="1" applyAlignment="1">
      <alignment horizontal="center"/>
    </xf>
    <xf numFmtId="0" fontId="50" fillId="0" borderId="0" xfId="0" applyFont="1" applyAlignment="1">
      <alignment horizontal="center" vertical="center"/>
    </xf>
    <xf numFmtId="0" fontId="50" fillId="0" borderId="4" xfId="0" applyFont="1" applyBorder="1" applyAlignment="1">
      <alignment horizontal="center" vertical="center"/>
    </xf>
    <xf numFmtId="0" fontId="44" fillId="48" borderId="17" xfId="0" applyFont="1" applyFill="1" applyBorder="1" applyAlignment="1">
      <alignment horizontal="center"/>
    </xf>
    <xf numFmtId="0" fontId="44" fillId="48" borderId="18" xfId="0" applyFont="1" applyFill="1" applyBorder="1" applyAlignment="1">
      <alignment horizontal="center"/>
    </xf>
    <xf numFmtId="0" fontId="50" fillId="0" borderId="1" xfId="0" applyFont="1" applyBorder="1" applyAlignment="1">
      <alignment horizontal="center" vertical="center"/>
    </xf>
    <xf numFmtId="0" fontId="49" fillId="0" borderId="0" xfId="0" applyFont="1" applyAlignment="1">
      <alignment vertical="center"/>
    </xf>
    <xf numFmtId="0" fontId="50" fillId="0" borderId="3" xfId="0" applyFont="1" applyBorder="1" applyAlignment="1">
      <alignment horizontal="center" vertical="center"/>
    </xf>
    <xf numFmtId="0" fontId="50" fillId="0" borderId="13" xfId="0" applyFont="1" applyBorder="1" applyAlignment="1">
      <alignment horizontal="center" vertical="center"/>
    </xf>
    <xf numFmtId="0" fontId="49" fillId="0" borderId="0" xfId="0" applyFont="1" applyAlignment="1">
      <alignment horizontal="center" vertical="center"/>
    </xf>
    <xf numFmtId="0" fontId="44" fillId="48" borderId="4" xfId="0" applyFont="1" applyFill="1" applyBorder="1" applyAlignment="1">
      <alignment horizontal="center" vertical="center"/>
    </xf>
    <xf numFmtId="0" fontId="10" fillId="0" borderId="16" xfId="0" applyFont="1" applyBorder="1" applyAlignment="1">
      <alignment horizontal="left" wrapText="1"/>
    </xf>
    <xf numFmtId="0" fontId="1" fillId="0" borderId="17" xfId="0" applyFont="1" applyBorder="1" applyAlignment="1">
      <alignment horizontal="left"/>
    </xf>
    <xf numFmtId="164" fontId="0" fillId="0" borderId="0" xfId="0" applyNumberFormat="1"/>
    <xf numFmtId="0" fontId="58" fillId="0" borderId="0" xfId="0" applyFont="1" applyAlignment="1">
      <alignment vertical="center" wrapText="1" readingOrder="1"/>
    </xf>
    <xf numFmtId="167" fontId="1" fillId="49" borderId="0" xfId="0" applyNumberFormat="1" applyFont="1" applyFill="1" applyAlignment="1">
      <alignment horizontal="center"/>
    </xf>
    <xf numFmtId="2" fontId="1" fillId="49" borderId="0" xfId="0" applyNumberFormat="1" applyFont="1" applyFill="1" applyAlignment="1">
      <alignment horizontal="center"/>
    </xf>
    <xf numFmtId="0" fontId="54" fillId="0" borderId="0" xfId="0" applyFont="1" applyAlignment="1">
      <alignment horizontal="center" vertical="center" wrapText="1"/>
    </xf>
    <xf numFmtId="0" fontId="60" fillId="0" borderId="0" xfId="0" applyFont="1"/>
    <xf numFmtId="0" fontId="1" fillId="41" borderId="37" xfId="0" applyFont="1" applyFill="1" applyBorder="1" applyAlignment="1">
      <alignment horizontal="center"/>
    </xf>
    <xf numFmtId="0" fontId="1" fillId="41" borderId="13" xfId="0" applyFont="1" applyFill="1" applyBorder="1" applyAlignment="1">
      <alignment horizontal="center"/>
    </xf>
    <xf numFmtId="0" fontId="1" fillId="41" borderId="14" xfId="0" applyFont="1" applyFill="1" applyBorder="1" applyAlignment="1">
      <alignment horizontal="center"/>
    </xf>
    <xf numFmtId="0" fontId="10" fillId="49" borderId="33" xfId="0" applyFont="1" applyFill="1" applyBorder="1" applyAlignment="1">
      <alignment horizontal="center" vertical="center" wrapText="1"/>
    </xf>
    <xf numFmtId="0" fontId="10" fillId="49" borderId="32" xfId="0" applyFont="1" applyFill="1" applyBorder="1" applyAlignment="1">
      <alignment horizontal="center" vertical="center" wrapText="1"/>
    </xf>
    <xf numFmtId="0" fontId="10" fillId="49" borderId="31" xfId="0" applyFont="1" applyFill="1" applyBorder="1" applyAlignment="1">
      <alignment vertical="center"/>
    </xf>
    <xf numFmtId="0" fontId="0" fillId="0" borderId="0" xfId="0" applyAlignment="1">
      <alignment vertical="center"/>
    </xf>
    <xf numFmtId="0" fontId="1" fillId="0" borderId="3" xfId="0" applyFont="1" applyBorder="1" applyAlignment="1">
      <alignment horizontal="center"/>
    </xf>
    <xf numFmtId="0" fontId="1" fillId="0" borderId="42" xfId="0" applyFont="1" applyBorder="1" applyAlignment="1">
      <alignment horizontal="left" vertical="center"/>
    </xf>
    <xf numFmtId="0" fontId="1" fillId="0" borderId="41" xfId="0" applyFont="1" applyBorder="1" applyAlignment="1">
      <alignment horizontal="left" vertical="center"/>
    </xf>
    <xf numFmtId="0" fontId="0" fillId="0" borderId="44" xfId="0" applyBorder="1"/>
    <xf numFmtId="0" fontId="60" fillId="0" borderId="46" xfId="0" applyFont="1" applyBorder="1" applyAlignment="1">
      <alignment vertical="top" wrapText="1"/>
    </xf>
    <xf numFmtId="0" fontId="11" fillId="0" borderId="0" xfId="0" applyFont="1" applyAlignment="1">
      <alignment horizontal="left"/>
    </xf>
    <xf numFmtId="0" fontId="55" fillId="0" borderId="0" xfId="0" applyFont="1"/>
    <xf numFmtId="0" fontId="7" fillId="0" borderId="1" xfId="0" applyFont="1" applyBorder="1" applyAlignment="1">
      <alignment horizontal="center"/>
    </xf>
    <xf numFmtId="0" fontId="55" fillId="0" borderId="0" xfId="0" applyFont="1" applyAlignment="1">
      <alignment horizontal="left"/>
    </xf>
    <xf numFmtId="0" fontId="59" fillId="0" borderId="0" xfId="0" applyFont="1" applyAlignment="1">
      <alignment horizontal="left" vertical="top" readingOrder="1"/>
    </xf>
    <xf numFmtId="167" fontId="7" fillId="0" borderId="0" xfId="0" applyNumberFormat="1" applyFont="1" applyAlignment="1">
      <alignment horizontal="center"/>
    </xf>
    <xf numFmtId="0" fontId="7" fillId="0" borderId="6" xfId="0" applyFont="1" applyBorder="1" applyAlignment="1">
      <alignment horizontal="center"/>
    </xf>
    <xf numFmtId="0" fontId="7" fillId="0" borderId="8" xfId="0" applyFont="1" applyBorder="1" applyAlignment="1">
      <alignment horizontal="center"/>
    </xf>
    <xf numFmtId="0" fontId="0" fillId="0" borderId="51" xfId="0" applyBorder="1"/>
    <xf numFmtId="0" fontId="0" fillId="0" borderId="40" xfId="0" applyBorder="1"/>
    <xf numFmtId="0" fontId="7" fillId="0" borderId="6" xfId="0" applyFont="1" applyBorder="1"/>
    <xf numFmtId="0" fontId="58" fillId="0" borderId="6" xfId="0" applyFont="1" applyBorder="1" applyAlignment="1">
      <alignment vertical="center" wrapText="1" readingOrder="1"/>
    </xf>
    <xf numFmtId="0" fontId="7" fillId="0" borderId="4" xfId="0" applyFont="1" applyBorder="1"/>
    <xf numFmtId="1" fontId="7" fillId="0" borderId="3" xfId="0" applyNumberFormat="1" applyFont="1" applyBorder="1" applyAlignment="1">
      <alignment horizontal="center"/>
    </xf>
    <xf numFmtId="1" fontId="7" fillId="0" borderId="4" xfId="0" applyNumberFormat="1" applyFont="1" applyBorder="1" applyAlignment="1">
      <alignment horizontal="center"/>
    </xf>
    <xf numFmtId="0" fontId="10" fillId="0" borderId="12" xfId="0" applyFont="1" applyBorder="1" applyAlignment="1">
      <alignment horizontal="left" vertical="center"/>
    </xf>
    <xf numFmtId="0" fontId="10" fillId="0" borderId="14" xfId="0" applyFont="1" applyBorder="1" applyAlignment="1">
      <alignment horizontal="left" vertical="center"/>
    </xf>
    <xf numFmtId="1" fontId="1" fillId="0" borderId="13" xfId="2" applyNumberFormat="1" applyFont="1" applyFill="1" applyBorder="1" applyAlignment="1">
      <alignment horizontal="center" vertical="center"/>
    </xf>
    <xf numFmtId="1" fontId="1" fillId="0" borderId="49" xfId="2" applyNumberFormat="1" applyFont="1" applyFill="1" applyBorder="1" applyAlignment="1">
      <alignment horizontal="center" vertical="center"/>
    </xf>
    <xf numFmtId="0" fontId="1" fillId="0" borderId="47" xfId="0" applyFont="1" applyBorder="1" applyAlignment="1">
      <alignment horizontal="center" vertical="center"/>
    </xf>
    <xf numFmtId="166" fontId="0" fillId="0" borderId="0" xfId="0" applyNumberFormat="1"/>
    <xf numFmtId="0" fontId="1" fillId="0" borderId="0" xfId="0" applyFont="1" applyAlignment="1">
      <alignment vertical="center"/>
    </xf>
    <xf numFmtId="0" fontId="1" fillId="3" borderId="8" xfId="0" applyFont="1" applyFill="1" applyBorder="1" applyAlignment="1">
      <alignment horizontal="center"/>
    </xf>
    <xf numFmtId="0" fontId="1" fillId="3" borderId="39" xfId="0" applyFont="1" applyFill="1" applyBorder="1" applyAlignment="1">
      <alignment horizontal="center"/>
    </xf>
    <xf numFmtId="0" fontId="1" fillId="3" borderId="38" xfId="0" applyFont="1" applyFill="1" applyBorder="1" applyAlignment="1">
      <alignment horizontal="center"/>
    </xf>
    <xf numFmtId="0" fontId="1" fillId="3" borderId="1" xfId="0" applyFont="1" applyFill="1" applyBorder="1" applyAlignment="1">
      <alignment horizontal="center"/>
    </xf>
    <xf numFmtId="0" fontId="1" fillId="3" borderId="13" xfId="0" applyFont="1" applyFill="1" applyBorder="1" applyAlignment="1">
      <alignment horizontal="left"/>
    </xf>
    <xf numFmtId="0" fontId="2" fillId="0" borderId="0" xfId="1" applyAlignment="1"/>
    <xf numFmtId="167" fontId="7" fillId="0" borderId="3" xfId="0" applyNumberFormat="1" applyFont="1" applyBorder="1" applyAlignment="1">
      <alignment horizontal="center"/>
    </xf>
    <xf numFmtId="167" fontId="7" fillId="0" borderId="1" xfId="0" applyNumberFormat="1" applyFont="1" applyBorder="1" applyAlignment="1">
      <alignment horizontal="center"/>
    </xf>
    <xf numFmtId="0" fontId="64" fillId="0" borderId="0" xfId="1" applyFont="1" applyAlignment="1">
      <alignment horizontal="left"/>
    </xf>
    <xf numFmtId="0" fontId="1" fillId="3" borderId="3" xfId="0" applyFont="1" applyFill="1" applyBorder="1" applyAlignment="1">
      <alignment horizontal="center"/>
    </xf>
    <xf numFmtId="0" fontId="11" fillId="0" borderId="6" xfId="0" applyFont="1" applyBorder="1" applyAlignment="1">
      <alignment horizontal="left"/>
    </xf>
    <xf numFmtId="0" fontId="0" fillId="0" borderId="0" xfId="0" quotePrefix="1"/>
    <xf numFmtId="0" fontId="65" fillId="0" borderId="0" xfId="0" applyFont="1" applyAlignment="1">
      <alignment horizontal="left" vertical="center"/>
    </xf>
    <xf numFmtId="0" fontId="62" fillId="0" borderId="0" xfId="0" applyFont="1"/>
    <xf numFmtId="0" fontId="58" fillId="0" borderId="0" xfId="0" applyFont="1" applyAlignment="1">
      <alignment horizontal="right" vertical="top" wrapText="1" readingOrder="1"/>
    </xf>
    <xf numFmtId="1" fontId="10" fillId="0" borderId="13" xfId="0" applyNumberFormat="1"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5" xfId="0" applyFont="1" applyBorder="1" applyAlignment="1">
      <alignment vertical="center"/>
    </xf>
    <xf numFmtId="0" fontId="1" fillId="0" borderId="0" xfId="0" applyFont="1" applyAlignment="1">
      <alignment horizontal="center" vertical="center" wrapText="1"/>
    </xf>
    <xf numFmtId="0" fontId="67" fillId="0" borderId="0" xfId="0" applyFont="1"/>
    <xf numFmtId="0" fontId="68" fillId="0" borderId="0" xfId="0" quotePrefix="1" applyFont="1" applyAlignment="1">
      <alignment horizontal="left" vertical="center"/>
    </xf>
    <xf numFmtId="0" fontId="55" fillId="0" borderId="0" xfId="0" applyFont="1" applyAlignment="1">
      <alignment horizontal="left" vertical="center"/>
    </xf>
    <xf numFmtId="0" fontId="11" fillId="0" borderId="0" xfId="0" applyFont="1" applyAlignment="1">
      <alignment vertical="center"/>
    </xf>
    <xf numFmtId="0" fontId="58" fillId="0" borderId="0" xfId="0" applyFont="1" applyAlignment="1">
      <alignment vertical="center" wrapText="1"/>
    </xf>
    <xf numFmtId="0" fontId="58" fillId="0" borderId="0" xfId="0" applyFont="1" applyAlignment="1">
      <alignment horizontal="left" vertical="center"/>
    </xf>
    <xf numFmtId="0" fontId="58" fillId="0" borderId="0" xfId="0" applyFont="1" applyAlignment="1">
      <alignment horizontal="left" vertical="center" wrapText="1"/>
    </xf>
    <xf numFmtId="0" fontId="61" fillId="0" borderId="0" xfId="0" applyFont="1"/>
    <xf numFmtId="0" fontId="70" fillId="0" borderId="0" xfId="0" applyFont="1"/>
    <xf numFmtId="2" fontId="0" fillId="0" borderId="0" xfId="0" applyNumberFormat="1"/>
    <xf numFmtId="167" fontId="7" fillId="0" borderId="17" xfId="0" applyNumberFormat="1" applyFont="1" applyBorder="1" applyAlignment="1">
      <alignment horizontal="center"/>
    </xf>
    <xf numFmtId="168" fontId="7" fillId="0" borderId="17" xfId="0" applyNumberFormat="1" applyFont="1" applyBorder="1" applyAlignment="1">
      <alignment horizontal="center"/>
    </xf>
    <xf numFmtId="166" fontId="5" fillId="0" borderId="0" xfId="2" applyNumberFormat="1" applyFont="1" applyFill="1" applyBorder="1" applyAlignment="1">
      <alignment horizontal="center" vertical="center"/>
    </xf>
    <xf numFmtId="0" fontId="26" fillId="0" borderId="0" xfId="0" quotePrefix="1" applyFont="1"/>
    <xf numFmtId="1" fontId="0" fillId="0" borderId="0" xfId="0" applyNumberFormat="1" applyAlignment="1">
      <alignment horizontal="center"/>
    </xf>
    <xf numFmtId="0" fontId="71" fillId="0" borderId="0" xfId="0" applyFont="1" applyAlignment="1">
      <alignment vertical="center" wrapText="1"/>
    </xf>
    <xf numFmtId="0" fontId="26" fillId="0" borderId="0" xfId="0" applyFont="1" applyAlignment="1">
      <alignment vertical="center"/>
    </xf>
    <xf numFmtId="0" fontId="11" fillId="0" borderId="0" xfId="0" quotePrefix="1" applyFont="1" applyAlignment="1">
      <alignment vertical="center" wrapText="1"/>
    </xf>
    <xf numFmtId="0" fontId="11" fillId="0" borderId="0" xfId="0" applyFont="1" applyAlignment="1">
      <alignment vertical="center" wrapText="1"/>
    </xf>
    <xf numFmtId="0" fontId="72" fillId="0" borderId="0" xfId="0" applyFont="1"/>
    <xf numFmtId="0" fontId="6" fillId="0" borderId="0" xfId="0" applyFont="1"/>
    <xf numFmtId="0" fontId="1" fillId="0" borderId="0" xfId="0" applyFont="1" applyAlignment="1">
      <alignment horizontal="center"/>
    </xf>
    <xf numFmtId="166" fontId="1" fillId="0" borderId="0" xfId="2" applyNumberFormat="1" applyFont="1" applyFill="1" applyBorder="1" applyAlignment="1">
      <alignment horizontal="center" vertical="center"/>
    </xf>
    <xf numFmtId="1" fontId="5" fillId="0" borderId="0" xfId="0" applyNumberFormat="1" applyFont="1" applyAlignment="1">
      <alignment horizontal="center" vertical="center"/>
    </xf>
    <xf numFmtId="0" fontId="1" fillId="0" borderId="0" xfId="0" applyFont="1" applyAlignment="1">
      <alignment horizontal="left"/>
    </xf>
    <xf numFmtId="0" fontId="1" fillId="3" borderId="12"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0" borderId="0" xfId="0" applyFont="1" applyAlignment="1">
      <alignment horizontal="left" vertical="center"/>
    </xf>
    <xf numFmtId="0" fontId="1" fillId="0" borderId="6" xfId="0" applyFont="1" applyBorder="1" applyAlignment="1">
      <alignment horizontal="left" vertical="center"/>
    </xf>
    <xf numFmtId="0" fontId="1" fillId="0" borderId="44" xfId="0" applyFont="1" applyBorder="1" applyAlignment="1">
      <alignment horizontal="left" vertical="center"/>
    </xf>
    <xf numFmtId="0" fontId="1" fillId="0" borderId="43" xfId="0" applyFont="1" applyBorder="1" applyAlignment="1">
      <alignment horizontal="left" vertical="center"/>
    </xf>
    <xf numFmtId="0" fontId="60" fillId="0" borderId="55" xfId="0" applyFont="1" applyBorder="1" applyAlignment="1">
      <alignment vertical="top" wrapText="1"/>
    </xf>
    <xf numFmtId="1" fontId="0" fillId="0" borderId="56" xfId="0" applyNumberFormat="1" applyBorder="1" applyAlignment="1">
      <alignment horizontal="center"/>
    </xf>
    <xf numFmtId="0" fontId="1" fillId="0" borderId="1" xfId="0" applyFont="1" applyBorder="1" applyAlignment="1">
      <alignment horizontal="left" vertical="center" wrapText="1"/>
    </xf>
    <xf numFmtId="1" fontId="0" fillId="0" borderId="57" xfId="0" applyNumberFormat="1" applyBorder="1" applyAlignment="1">
      <alignment horizontal="center"/>
    </xf>
    <xf numFmtId="0" fontId="1" fillId="0" borderId="0" xfId="0" applyFont="1" applyAlignment="1">
      <alignment horizontal="left" vertical="center" wrapText="1"/>
    </xf>
    <xf numFmtId="1" fontId="0" fillId="0" borderId="58" xfId="0" applyNumberFormat="1" applyBorder="1" applyAlignment="1">
      <alignment horizontal="center"/>
    </xf>
    <xf numFmtId="1" fontId="0" fillId="0" borderId="59" xfId="0" applyNumberFormat="1" applyBorder="1" applyAlignment="1">
      <alignment horizontal="center"/>
    </xf>
    <xf numFmtId="0" fontId="1" fillId="3" borderId="60" xfId="0" applyFont="1" applyFill="1" applyBorder="1" applyAlignment="1">
      <alignment horizontal="center"/>
    </xf>
    <xf numFmtId="0" fontId="1" fillId="3" borderId="61" xfId="0" applyFont="1" applyFill="1" applyBorder="1" applyAlignment="1">
      <alignment horizontal="center"/>
    </xf>
    <xf numFmtId="0" fontId="73" fillId="0" borderId="0" xfId="0" applyFont="1" applyAlignment="1">
      <alignment horizontal="center" vertical="center" wrapText="1"/>
    </xf>
    <xf numFmtId="0" fontId="60" fillId="0" borderId="62" xfId="0" applyFont="1" applyBorder="1" applyAlignment="1">
      <alignment vertical="top" wrapText="1"/>
    </xf>
    <xf numFmtId="0" fontId="1" fillId="0" borderId="6" xfId="0" applyFont="1" applyBorder="1" applyAlignment="1">
      <alignment horizontal="left" vertical="center" wrapText="1"/>
    </xf>
    <xf numFmtId="0" fontId="0" fillId="0" borderId="69" xfId="0" applyBorder="1"/>
    <xf numFmtId="0" fontId="60" fillId="0" borderId="72" xfId="0" applyFont="1" applyBorder="1" applyAlignment="1">
      <alignment vertical="top" wrapText="1"/>
    </xf>
    <xf numFmtId="1" fontId="0" fillId="0" borderId="74" xfId="0" applyNumberFormat="1" applyBorder="1" applyAlignment="1">
      <alignment horizontal="center"/>
    </xf>
    <xf numFmtId="1" fontId="0" fillId="0" borderId="75" xfId="0" applyNumberFormat="1" applyBorder="1" applyAlignment="1">
      <alignment horizontal="center"/>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75" fillId="0" borderId="19" xfId="0" applyFont="1" applyBorder="1" applyAlignment="1">
      <alignment horizontal="center" vertical="center"/>
    </xf>
    <xf numFmtId="0" fontId="76" fillId="55" borderId="16" xfId="0" applyFont="1" applyFill="1" applyBorder="1" applyAlignment="1">
      <alignment horizontal="left" vertical="center" wrapText="1"/>
    </xf>
    <xf numFmtId="0" fontId="76" fillId="55" borderId="2" xfId="0" applyFont="1" applyFill="1" applyBorder="1" applyAlignment="1">
      <alignment horizontal="center" vertical="center" wrapText="1"/>
    </xf>
    <xf numFmtId="0" fontId="76" fillId="55" borderId="3" xfId="0" applyFont="1" applyFill="1" applyBorder="1" applyAlignment="1">
      <alignment horizontal="center" vertical="center" wrapText="1"/>
    </xf>
    <xf numFmtId="0" fontId="76" fillId="55" borderId="4" xfId="0" applyFont="1" applyFill="1" applyBorder="1" applyAlignment="1">
      <alignment horizontal="center" vertical="center" wrapText="1"/>
    </xf>
    <xf numFmtId="0" fontId="76" fillId="40" borderId="2" xfId="0" applyFont="1" applyFill="1" applyBorder="1" applyAlignment="1">
      <alignment horizontal="center" vertical="center" wrapText="1"/>
    </xf>
    <xf numFmtId="0" fontId="76" fillId="40" borderId="3" xfId="0" applyFont="1" applyFill="1" applyBorder="1" applyAlignment="1">
      <alignment horizontal="center" vertical="center" wrapText="1"/>
    </xf>
    <xf numFmtId="0" fontId="76" fillId="40" borderId="4" xfId="0" applyFont="1" applyFill="1" applyBorder="1" applyAlignment="1">
      <alignment horizontal="center" vertical="center" wrapText="1"/>
    </xf>
    <xf numFmtId="0" fontId="76" fillId="55" borderId="17" xfId="0" applyFont="1" applyFill="1" applyBorder="1" applyAlignment="1">
      <alignment horizontal="left" vertical="center" wrapText="1"/>
    </xf>
    <xf numFmtId="0" fontId="77" fillId="55" borderId="5" xfId="0" applyFont="1" applyFill="1" applyBorder="1" applyAlignment="1">
      <alignment horizontal="center" vertical="center" wrapText="1"/>
    </xf>
    <xf numFmtId="0" fontId="77" fillId="55" borderId="6" xfId="0" applyFont="1" applyFill="1" applyBorder="1" applyAlignment="1">
      <alignment horizontal="center" vertical="center" wrapText="1"/>
    </xf>
    <xf numFmtId="0" fontId="77" fillId="0" borderId="0" xfId="0" applyFont="1"/>
    <xf numFmtId="0" fontId="76" fillId="55" borderId="18" xfId="0" applyFont="1" applyFill="1" applyBorder="1" applyAlignment="1">
      <alignment horizontal="left" vertical="center" wrapText="1"/>
    </xf>
    <xf numFmtId="0" fontId="75" fillId="55" borderId="7" xfId="0" applyFont="1" applyFill="1" applyBorder="1" applyAlignment="1">
      <alignment horizontal="center" vertical="center" wrapText="1"/>
    </xf>
    <xf numFmtId="0" fontId="75" fillId="55" borderId="1" xfId="0" applyFont="1" applyFill="1" applyBorder="1" applyAlignment="1">
      <alignment horizontal="center" vertical="center" wrapText="1"/>
    </xf>
    <xf numFmtId="0" fontId="75" fillId="55" borderId="8" xfId="0" applyFont="1" applyFill="1" applyBorder="1" applyAlignment="1">
      <alignment horizontal="center" vertical="center" wrapText="1"/>
    </xf>
    <xf numFmtId="0" fontId="75" fillId="40" borderId="7" xfId="0" applyFont="1" applyFill="1" applyBorder="1" applyAlignment="1">
      <alignment horizontal="center" vertical="center" wrapText="1"/>
    </xf>
    <xf numFmtId="0" fontId="75" fillId="40" borderId="1" xfId="0" applyFont="1" applyFill="1" applyBorder="1" applyAlignment="1">
      <alignment horizontal="center" vertical="center" wrapText="1"/>
    </xf>
    <xf numFmtId="0" fontId="75" fillId="40" borderId="8" xfId="0" applyFont="1" applyFill="1" applyBorder="1" applyAlignment="1">
      <alignment horizontal="center" vertical="center" wrapText="1"/>
    </xf>
    <xf numFmtId="0" fontId="75" fillId="47" borderId="19" xfId="0" applyFont="1" applyFill="1" applyBorder="1" applyAlignment="1">
      <alignment horizontal="center"/>
    </xf>
    <xf numFmtId="0" fontId="7" fillId="0" borderId="16" xfId="0" applyFont="1" applyBorder="1" applyAlignment="1">
      <alignment vertical="center" wrapText="1"/>
    </xf>
    <xf numFmtId="0" fontId="7" fillId="0" borderId="17" xfId="0" applyFont="1" applyBorder="1" applyAlignment="1">
      <alignment vertical="center" wrapText="1"/>
    </xf>
    <xf numFmtId="0" fontId="75" fillId="56" borderId="0" xfId="0" applyFont="1" applyFill="1" applyAlignment="1">
      <alignment vertical="center"/>
    </xf>
    <xf numFmtId="0" fontId="75" fillId="56" borderId="2" xfId="0" applyFont="1" applyFill="1" applyBorder="1" applyAlignment="1">
      <alignment vertical="center"/>
    </xf>
    <xf numFmtId="0" fontId="75" fillId="56" borderId="2" xfId="0" applyFont="1" applyFill="1" applyBorder="1" applyAlignment="1">
      <alignment vertical="center" wrapText="1"/>
    </xf>
    <xf numFmtId="0" fontId="7" fillId="0" borderId="17" xfId="0" applyFont="1" applyBorder="1" applyAlignment="1">
      <alignment horizontal="left" vertical="center" wrapText="1"/>
    </xf>
    <xf numFmtId="0" fontId="75" fillId="47" borderId="6" xfId="0" applyFont="1" applyFill="1" applyBorder="1" applyAlignment="1">
      <alignment horizontal="center" vertical="center"/>
    </xf>
    <xf numFmtId="0" fontId="75" fillId="47" borderId="17" xfId="0" applyFont="1" applyFill="1" applyBorder="1" applyAlignment="1">
      <alignment vertical="center" wrapText="1"/>
    </xf>
    <xf numFmtId="0" fontId="7" fillId="47" borderId="1" xfId="0" applyFont="1" applyFill="1" applyBorder="1" applyAlignment="1">
      <alignment vertical="center"/>
    </xf>
    <xf numFmtId="0" fontId="75" fillId="47" borderId="7" xfId="0" applyFont="1" applyFill="1" applyBorder="1" applyAlignment="1">
      <alignment vertical="center"/>
    </xf>
    <xf numFmtId="0" fontId="75" fillId="0" borderId="0" xfId="0" applyFont="1" applyAlignment="1">
      <alignment horizontal="left" vertical="center"/>
    </xf>
    <xf numFmtId="0" fontId="7" fillId="56" borderId="0" xfId="0" applyFont="1" applyFill="1" applyAlignment="1">
      <alignment vertical="center"/>
    </xf>
    <xf numFmtId="0" fontId="7" fillId="56" borderId="3" xfId="0" applyFont="1" applyFill="1" applyBorder="1" applyAlignment="1">
      <alignment vertical="center"/>
    </xf>
    <xf numFmtId="0" fontId="7" fillId="56" borderId="6" xfId="0" applyFont="1" applyFill="1" applyBorder="1" applyAlignment="1">
      <alignment horizontal="center" vertical="center"/>
    </xf>
    <xf numFmtId="0" fontId="75" fillId="0" borderId="16" xfId="0" applyFont="1" applyBorder="1" applyAlignment="1">
      <alignment vertical="center" wrapText="1"/>
    </xf>
    <xf numFmtId="0" fontId="75" fillId="0" borderId="7" xfId="0" applyFont="1" applyBorder="1" applyAlignment="1">
      <alignment vertical="center"/>
    </xf>
    <xf numFmtId="0" fontId="75" fillId="47" borderId="2" xfId="0" applyFont="1" applyFill="1" applyBorder="1" applyAlignment="1">
      <alignment horizontal="center" vertical="center"/>
    </xf>
    <xf numFmtId="0" fontId="7" fillId="47" borderId="3" xfId="0" applyFont="1" applyFill="1" applyBorder="1" applyAlignment="1">
      <alignment horizontal="center" vertical="center"/>
    </xf>
    <xf numFmtId="9" fontId="7" fillId="0" borderId="4" xfId="0" applyNumberFormat="1" applyFont="1" applyBorder="1" applyAlignment="1">
      <alignment horizontal="center" vertical="center"/>
    </xf>
    <xf numFmtId="0" fontId="7" fillId="47" borderId="0" xfId="0" applyFont="1" applyFill="1" applyAlignment="1">
      <alignment vertical="center"/>
    </xf>
    <xf numFmtId="9" fontId="7" fillId="0" borderId="0" xfId="0" applyNumberFormat="1" applyFont="1" applyAlignment="1">
      <alignment horizontal="center" vertical="center"/>
    </xf>
    <xf numFmtId="0" fontId="75" fillId="0" borderId="5" xfId="0" applyFont="1" applyBorder="1" applyAlignment="1">
      <alignment vertical="center" wrapText="1"/>
    </xf>
    <xf numFmtId="0" fontId="7" fillId="56" borderId="4" xfId="0" applyFont="1" applyFill="1" applyBorder="1" applyAlignment="1">
      <alignment horizontal="center" vertical="center"/>
    </xf>
    <xf numFmtId="9" fontId="7" fillId="0" borderId="1" xfId="0" applyNumberFormat="1" applyFont="1" applyBorder="1" applyAlignment="1">
      <alignment horizontal="center" vertical="center"/>
    </xf>
    <xf numFmtId="0" fontId="7" fillId="0" borderId="7" xfId="0" applyFont="1" applyBorder="1" applyAlignment="1">
      <alignment vertical="center"/>
    </xf>
    <xf numFmtId="0" fontId="26" fillId="47" borderId="7" xfId="0" applyFont="1" applyFill="1" applyBorder="1" applyAlignment="1">
      <alignment vertical="center"/>
    </xf>
    <xf numFmtId="0" fontId="75" fillId="0" borderId="12" xfId="0" applyFont="1" applyBorder="1" applyAlignment="1">
      <alignment vertical="center"/>
    </xf>
    <xf numFmtId="0" fontId="76" fillId="0" borderId="12" xfId="0" applyFont="1" applyBorder="1" applyAlignment="1">
      <alignment horizontal="center" vertical="center" wrapText="1"/>
    </xf>
    <xf numFmtId="0" fontId="10" fillId="0" borderId="13" xfId="0" applyFont="1" applyBorder="1" applyAlignment="1">
      <alignment horizontal="center" vertical="center" wrapText="1"/>
    </xf>
    <xf numFmtId="9" fontId="10" fillId="0" borderId="13" xfId="0" applyNumberFormat="1" applyFont="1" applyBorder="1" applyAlignment="1">
      <alignment horizontal="center" vertical="center" wrapText="1"/>
    </xf>
    <xf numFmtId="0" fontId="75" fillId="0" borderId="14" xfId="0" applyFont="1" applyBorder="1" applyAlignment="1">
      <alignment horizontal="left" vertical="center" wrapText="1"/>
    </xf>
    <xf numFmtId="0" fontId="75" fillId="0" borderId="0" xfId="0" applyFont="1" applyAlignment="1">
      <alignment vertical="center"/>
    </xf>
    <xf numFmtId="0" fontId="75" fillId="57" borderId="0" xfId="0" applyFont="1" applyFill="1"/>
    <xf numFmtId="0" fontId="75" fillId="0" borderId="0" xfId="0" applyFont="1" applyAlignment="1">
      <alignment horizontal="center"/>
    </xf>
    <xf numFmtId="0" fontId="58" fillId="0" borderId="0" xfId="0" applyFont="1" applyAlignment="1">
      <alignment horizontal="left" vertical="top" wrapText="1" readingOrder="1"/>
    </xf>
    <xf numFmtId="0" fontId="1" fillId="0" borderId="0" xfId="0" applyFont="1" applyAlignment="1">
      <alignment horizontal="center" vertical="center"/>
    </xf>
    <xf numFmtId="0" fontId="1" fillId="2" borderId="37"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0" fillId="0" borderId="36" xfId="0" applyBorder="1"/>
    <xf numFmtId="166" fontId="0" fillId="0" borderId="36" xfId="0" applyNumberFormat="1" applyBorder="1"/>
    <xf numFmtId="0" fontId="0" fillId="0" borderId="36" xfId="0" applyBorder="1" applyAlignment="1">
      <alignment horizontal="center" vertical="center"/>
    </xf>
    <xf numFmtId="1" fontId="80" fillId="0" borderId="0" xfId="0" applyNumberFormat="1" applyFont="1" applyAlignment="1">
      <alignment horizontal="center"/>
    </xf>
    <xf numFmtId="0" fontId="80" fillId="0" borderId="0" xfId="0" applyFont="1" applyAlignment="1">
      <alignment horizontal="center"/>
    </xf>
    <xf numFmtId="0" fontId="81" fillId="0" borderId="0" xfId="0" applyFont="1" applyAlignment="1">
      <alignment vertical="center" textRotation="90" wrapText="1"/>
    </xf>
    <xf numFmtId="0" fontId="3" fillId="0" borderId="0" xfId="0" applyFont="1" applyAlignment="1">
      <alignment vertical="center"/>
    </xf>
    <xf numFmtId="0" fontId="0" fillId="62" borderId="0" xfId="0" applyFill="1" applyAlignment="1">
      <alignment horizontal="center"/>
    </xf>
    <xf numFmtId="0" fontId="0" fillId="62" borderId="0" xfId="0" applyFill="1"/>
    <xf numFmtId="0" fontId="82" fillId="0" borderId="0" xfId="0" applyFont="1" applyAlignment="1">
      <alignment horizontal="left" vertical="top" readingOrder="1"/>
    </xf>
    <xf numFmtId="0" fontId="1" fillId="0" borderId="50" xfId="0" applyFont="1" applyBorder="1"/>
    <xf numFmtId="1" fontId="1" fillId="0" borderId="12" xfId="2" applyNumberFormat="1" applyFont="1" applyFill="1" applyBorder="1" applyAlignment="1">
      <alignment horizontal="center" vertical="center"/>
    </xf>
    <xf numFmtId="0" fontId="1" fillId="0" borderId="14" xfId="0" applyFont="1" applyBorder="1" applyAlignment="1">
      <alignment horizontal="center" vertical="center"/>
    </xf>
    <xf numFmtId="0" fontId="7" fillId="0" borderId="76" xfId="0" applyFont="1" applyBorder="1" applyAlignment="1">
      <alignment horizontal="center"/>
    </xf>
    <xf numFmtId="0" fontId="7" fillId="0" borderId="77" xfId="0" applyFont="1" applyBorder="1" applyAlignment="1">
      <alignment horizontal="center"/>
    </xf>
    <xf numFmtId="0" fontId="59" fillId="0" borderId="0" xfId="0" applyFont="1" applyAlignment="1">
      <alignment vertical="top" wrapText="1" readingOrder="1"/>
    </xf>
    <xf numFmtId="0" fontId="7" fillId="0" borderId="8" xfId="0" applyFont="1" applyBorder="1"/>
    <xf numFmtId="1" fontId="7" fillId="0" borderId="1" xfId="0" applyNumberFormat="1" applyFont="1" applyBorder="1" applyAlignment="1">
      <alignment horizontal="center"/>
    </xf>
    <xf numFmtId="1" fontId="7" fillId="0" borderId="8" xfId="0" applyNumberFormat="1" applyFont="1" applyBorder="1" applyAlignment="1">
      <alignment horizontal="center"/>
    </xf>
    <xf numFmtId="1" fontId="10" fillId="0" borderId="37" xfId="0" applyNumberFormat="1" applyFont="1" applyBorder="1" applyAlignment="1">
      <alignment horizontal="center"/>
    </xf>
    <xf numFmtId="1" fontId="7" fillId="0" borderId="78" xfId="0" applyNumberFormat="1" applyFont="1" applyBorder="1" applyAlignment="1">
      <alignment horizontal="center"/>
    </xf>
    <xf numFmtId="1" fontId="7" fillId="0" borderId="76" xfId="0" applyNumberFormat="1" applyFont="1" applyBorder="1" applyAlignment="1">
      <alignment horizontal="center"/>
    </xf>
    <xf numFmtId="1" fontId="7" fillId="0" borderId="77" xfId="0" applyNumberFormat="1" applyFont="1" applyBorder="1" applyAlignment="1">
      <alignment horizontal="center"/>
    </xf>
    <xf numFmtId="0" fontId="1" fillId="0" borderId="79" xfId="0" applyFont="1" applyBorder="1" applyAlignment="1">
      <alignment horizontal="center" vertical="center" wrapText="1"/>
    </xf>
    <xf numFmtId="2" fontId="0" fillId="0" borderId="0" xfId="2" applyNumberFormat="1" applyFont="1" applyAlignment="1">
      <alignment horizontal="center"/>
    </xf>
    <xf numFmtId="9" fontId="0" fillId="0" borderId="80" xfId="3" applyFont="1" applyBorder="1" applyAlignment="1">
      <alignment horizontal="center"/>
    </xf>
    <xf numFmtId="1" fontId="0" fillId="0" borderId="0" xfId="2" applyNumberFormat="1" applyFont="1" applyAlignment="1">
      <alignment horizontal="center"/>
    </xf>
    <xf numFmtId="1" fontId="1" fillId="49" borderId="0" xfId="0" applyNumberFormat="1" applyFont="1" applyFill="1" applyAlignment="1">
      <alignment horizontal="center"/>
    </xf>
    <xf numFmtId="166" fontId="0" fillId="0" borderId="0" xfId="2" applyNumberFormat="1" applyFont="1"/>
    <xf numFmtId="1" fontId="1" fillId="0" borderId="0" xfId="0" applyNumberFormat="1" applyFont="1" applyAlignment="1">
      <alignment horizontal="center"/>
    </xf>
    <xf numFmtId="1" fontId="1" fillId="0" borderId="0" xfId="2" applyNumberFormat="1" applyFont="1" applyFill="1" applyAlignment="1">
      <alignment horizontal="center"/>
    </xf>
    <xf numFmtId="9" fontId="0" fillId="0" borderId="0" xfId="0" applyNumberFormat="1" applyAlignment="1">
      <alignment horizontal="center"/>
    </xf>
    <xf numFmtId="0" fontId="2" fillId="0" borderId="0" xfId="1" applyBorder="1"/>
    <xf numFmtId="0" fontId="11" fillId="0" borderId="5" xfId="0" applyFont="1" applyBorder="1"/>
    <xf numFmtId="0" fontId="11" fillId="0" borderId="7" xfId="0" applyFont="1" applyBorder="1"/>
    <xf numFmtId="0" fontId="2" fillId="0" borderId="1" xfId="1" applyBorder="1"/>
    <xf numFmtId="0" fontId="10" fillId="0" borderId="48" xfId="0" applyFont="1" applyBorder="1" applyAlignment="1">
      <alignment horizontal="center" vertical="center"/>
    </xf>
    <xf numFmtId="0" fontId="10" fillId="0" borderId="0" xfId="0" applyFont="1"/>
    <xf numFmtId="0" fontId="0" fillId="0" borderId="0" xfId="0" applyAlignment="1">
      <alignment horizontal="right" vertical="center"/>
    </xf>
    <xf numFmtId="0" fontId="0" fillId="0" borderId="0" xfId="0" applyAlignment="1">
      <alignment horizontal="right"/>
    </xf>
    <xf numFmtId="0" fontId="7" fillId="0" borderId="0" xfId="0" applyFont="1" applyAlignment="1">
      <alignment horizontal="right"/>
    </xf>
    <xf numFmtId="0" fontId="8" fillId="0" borderId="0" xfId="0" applyFont="1" applyAlignment="1">
      <alignment horizontal="right"/>
    </xf>
    <xf numFmtId="1" fontId="1" fillId="0" borderId="0" xfId="0" applyNumberFormat="1" applyFont="1" applyAlignment="1">
      <alignment horizontal="right"/>
    </xf>
    <xf numFmtId="1" fontId="0" fillId="0" borderId="0" xfId="0" applyNumberFormat="1" applyAlignment="1">
      <alignment horizontal="right" vertical="center"/>
    </xf>
    <xf numFmtId="166" fontId="1" fillId="0" borderId="0" xfId="2" applyNumberFormat="1" applyFont="1" applyFill="1" applyBorder="1" applyAlignment="1">
      <alignment horizontal="right" vertical="center"/>
    </xf>
    <xf numFmtId="20" fontId="84" fillId="0" borderId="0" xfId="0" applyNumberFormat="1" applyFont="1"/>
    <xf numFmtId="0" fontId="63" fillId="0" borderId="0" xfId="0" applyFont="1"/>
    <xf numFmtId="0" fontId="86" fillId="61" borderId="0" xfId="0" applyFont="1" applyFill="1" applyAlignment="1">
      <alignment vertical="center" wrapText="1"/>
    </xf>
    <xf numFmtId="0" fontId="87" fillId="61" borderId="0" xfId="0" applyFont="1" applyFill="1" applyAlignment="1">
      <alignment horizontal="center"/>
    </xf>
    <xf numFmtId="0" fontId="87" fillId="61" borderId="0" xfId="0" applyFont="1" applyFill="1"/>
    <xf numFmtId="1" fontId="87" fillId="61" borderId="0" xfId="2" applyNumberFormat="1" applyFont="1" applyFill="1" applyBorder="1" applyAlignment="1">
      <alignment horizontal="center"/>
    </xf>
    <xf numFmtId="9" fontId="87" fillId="61" borderId="0" xfId="3" applyFont="1" applyFill="1" applyBorder="1"/>
    <xf numFmtId="1" fontId="87" fillId="61" borderId="0" xfId="0" applyNumberFormat="1" applyFont="1" applyFill="1"/>
    <xf numFmtId="1" fontId="63" fillId="61" borderId="0" xfId="0" applyNumberFormat="1" applyFont="1" applyFill="1"/>
    <xf numFmtId="164" fontId="63" fillId="61" borderId="0" xfId="0" applyNumberFormat="1" applyFont="1" applyFill="1"/>
    <xf numFmtId="0" fontId="87" fillId="61" borderId="0" xfId="0" applyFont="1" applyFill="1" applyAlignment="1">
      <alignment vertical="center"/>
    </xf>
    <xf numFmtId="0" fontId="50" fillId="52" borderId="0" xfId="0" applyFont="1" applyFill="1" applyAlignment="1">
      <alignment horizontal="center" vertical="center"/>
    </xf>
    <xf numFmtId="0" fontId="10" fillId="49" borderId="12" xfId="0" applyFont="1" applyFill="1" applyBorder="1" applyAlignment="1">
      <alignment horizontal="left" vertical="center"/>
    </xf>
    <xf numFmtId="0" fontId="10" fillId="49" borderId="14" xfId="0" applyFont="1" applyFill="1" applyBorder="1" applyAlignment="1">
      <alignment horizontal="left" vertical="center"/>
    </xf>
    <xf numFmtId="1" fontId="10" fillId="49" borderId="37" xfId="0" applyNumberFormat="1" applyFont="1" applyFill="1" applyBorder="1" applyAlignment="1">
      <alignment horizontal="center"/>
    </xf>
    <xf numFmtId="1" fontId="10" fillId="49" borderId="13" xfId="0" applyNumberFormat="1" applyFont="1" applyFill="1" applyBorder="1" applyAlignment="1">
      <alignment horizontal="center"/>
    </xf>
    <xf numFmtId="0" fontId="10" fillId="49" borderId="13" xfId="0" applyFont="1" applyFill="1" applyBorder="1" applyAlignment="1">
      <alignment horizontal="center"/>
    </xf>
    <xf numFmtId="0" fontId="10" fillId="49" borderId="14" xfId="0" applyFont="1" applyFill="1" applyBorder="1" applyAlignment="1">
      <alignment horizontal="center"/>
    </xf>
    <xf numFmtId="0" fontId="10" fillId="0" borderId="47" xfId="0" applyFont="1" applyBorder="1" applyAlignment="1">
      <alignment horizontal="center" vertical="center"/>
    </xf>
    <xf numFmtId="0" fontId="7" fillId="0" borderId="14" xfId="0" applyFont="1" applyBorder="1"/>
    <xf numFmtId="1" fontId="7" fillId="0" borderId="37" xfId="0" applyNumberFormat="1" applyFont="1" applyBorder="1" applyAlignment="1">
      <alignment horizontal="center"/>
    </xf>
    <xf numFmtId="1" fontId="7" fillId="0" borderId="13" xfId="0" applyNumberFormat="1" applyFont="1" applyBorder="1" applyAlignment="1">
      <alignment horizontal="center"/>
    </xf>
    <xf numFmtId="1" fontId="7" fillId="0" borderId="14" xfId="0" applyNumberFormat="1" applyFont="1" applyBorder="1" applyAlignment="1">
      <alignment horizontal="center"/>
    </xf>
    <xf numFmtId="1" fontId="58" fillId="0" borderId="0" xfId="0" applyNumberFormat="1" applyFont="1" applyAlignment="1">
      <alignment horizontal="left" vertical="top" wrapText="1" readingOrder="1"/>
    </xf>
    <xf numFmtId="0" fontId="1" fillId="49" borderId="18" xfId="0" applyFont="1" applyFill="1" applyBorder="1"/>
    <xf numFmtId="1" fontId="1" fillId="49" borderId="13" xfId="2" applyNumberFormat="1" applyFont="1" applyFill="1" applyBorder="1" applyAlignment="1">
      <alignment horizontal="center"/>
    </xf>
    <xf numFmtId="1" fontId="1" fillId="49" borderId="14" xfId="2" applyNumberFormat="1" applyFont="1" applyFill="1" applyBorder="1" applyAlignment="1">
      <alignment horizontal="center"/>
    </xf>
    <xf numFmtId="0" fontId="0" fillId="0" borderId="16" xfId="0" applyBorder="1" applyAlignment="1">
      <alignment horizontal="left"/>
    </xf>
    <xf numFmtId="1" fontId="0" fillId="0" borderId="78" xfId="0" applyNumberFormat="1" applyBorder="1" applyAlignment="1">
      <alignment horizontal="center" vertical="center"/>
    </xf>
    <xf numFmtId="1" fontId="0" fillId="0" borderId="3" xfId="0" applyNumberFormat="1" applyBorder="1" applyAlignment="1">
      <alignment horizontal="center" vertical="center"/>
    </xf>
    <xf numFmtId="1" fontId="5" fillId="0" borderId="3" xfId="0" applyNumberFormat="1" applyFont="1" applyBorder="1" applyAlignment="1">
      <alignment horizontal="center" vertical="center"/>
    </xf>
    <xf numFmtId="1" fontId="5" fillId="0" borderId="4" xfId="0" applyNumberFormat="1" applyFont="1" applyBorder="1" applyAlignment="1">
      <alignment horizontal="center" vertical="center"/>
    </xf>
    <xf numFmtId="0" fontId="0" fillId="0" borderId="17" xfId="0" applyBorder="1" applyAlignment="1">
      <alignment horizontal="left"/>
    </xf>
    <xf numFmtId="1" fontId="0" fillId="0" borderId="76" xfId="0" applyNumberFormat="1" applyBorder="1" applyAlignment="1">
      <alignment horizontal="center" vertical="center"/>
    </xf>
    <xf numFmtId="1" fontId="5" fillId="0" borderId="6" xfId="0" applyNumberFormat="1" applyFont="1" applyBorder="1" applyAlignment="1">
      <alignment horizontal="center" vertical="center"/>
    </xf>
    <xf numFmtId="0" fontId="0" fillId="0" borderId="18" xfId="0" applyBorder="1" applyAlignment="1">
      <alignment horizontal="left"/>
    </xf>
    <xf numFmtId="1" fontId="0" fillId="0" borderId="77" xfId="0" applyNumberFormat="1" applyBorder="1" applyAlignment="1">
      <alignment horizontal="center" vertical="center"/>
    </xf>
    <xf numFmtId="1" fontId="0" fillId="0" borderId="1" xfId="0" applyNumberFormat="1" applyBorder="1" applyAlignment="1">
      <alignment horizontal="center" vertical="center"/>
    </xf>
    <xf numFmtId="1" fontId="5" fillId="0" borderId="1" xfId="0" applyNumberFormat="1" applyFont="1" applyBorder="1" applyAlignment="1">
      <alignment horizontal="center" vertical="center"/>
    </xf>
    <xf numFmtId="1" fontId="5" fillId="0" borderId="8" xfId="0" applyNumberFormat="1" applyFont="1" applyBorder="1" applyAlignment="1">
      <alignment horizontal="center" vertical="center"/>
    </xf>
    <xf numFmtId="0" fontId="0" fillId="0" borderId="16" xfId="0" applyBorder="1"/>
    <xf numFmtId="0" fontId="0" fillId="0" borderId="17" xfId="0" applyBorder="1"/>
    <xf numFmtId="0" fontId="0" fillId="0" borderId="18" xfId="0" applyBorder="1"/>
    <xf numFmtId="0" fontId="1" fillId="49" borderId="19" xfId="0" applyFont="1" applyFill="1" applyBorder="1"/>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1" fontId="1" fillId="49" borderId="37" xfId="0" applyNumberFormat="1" applyFont="1" applyFill="1" applyBorder="1" applyAlignment="1">
      <alignment horizontal="center"/>
    </xf>
    <xf numFmtId="0" fontId="1" fillId="0" borderId="16" xfId="0" applyFont="1" applyBorder="1" applyAlignment="1">
      <alignment horizontal="center"/>
    </xf>
    <xf numFmtId="0" fontId="49" fillId="0" borderId="2" xfId="0" applyFont="1" applyBorder="1" applyAlignment="1">
      <alignment vertical="center"/>
    </xf>
    <xf numFmtId="0" fontId="49" fillId="0" borderId="3" xfId="0" applyFont="1" applyBorder="1" applyAlignment="1">
      <alignment vertical="center"/>
    </xf>
    <xf numFmtId="0" fontId="49" fillId="0" borderId="3" xfId="0" applyFont="1" applyBorder="1" applyAlignment="1">
      <alignment horizontal="center" vertical="center"/>
    </xf>
    <xf numFmtId="0" fontId="49" fillId="52" borderId="3" xfId="0" applyFont="1" applyFill="1" applyBorder="1" applyAlignment="1">
      <alignment horizontal="center" vertical="center"/>
    </xf>
    <xf numFmtId="0" fontId="49" fillId="52" borderId="4" xfId="0" applyFont="1" applyFill="1" applyBorder="1" applyAlignment="1">
      <alignment horizontal="center" vertical="center"/>
    </xf>
    <xf numFmtId="0" fontId="49" fillId="0" borderId="5" xfId="0" applyFont="1" applyBorder="1" applyAlignment="1">
      <alignment vertical="center"/>
    </xf>
    <xf numFmtId="0" fontId="49" fillId="52" borderId="0" xfId="0" applyFont="1" applyFill="1" applyAlignment="1">
      <alignment horizontal="center" vertical="center"/>
    </xf>
    <xf numFmtId="0" fontId="49" fillId="52" borderId="6" xfId="0" applyFont="1" applyFill="1" applyBorder="1" applyAlignment="1">
      <alignment horizontal="center" vertical="center"/>
    </xf>
    <xf numFmtId="0" fontId="50" fillId="54" borderId="0" xfId="0" applyFont="1" applyFill="1" applyAlignment="1">
      <alignment horizontal="center" vertical="center"/>
    </xf>
    <xf numFmtId="0" fontId="50" fillId="54" borderId="6" xfId="0" applyFont="1" applyFill="1" applyBorder="1" applyAlignment="1">
      <alignment horizontal="center" vertical="center"/>
    </xf>
    <xf numFmtId="0" fontId="49" fillId="63" borderId="0" xfId="0" applyFont="1" applyFill="1" applyAlignment="1">
      <alignment horizontal="center" vertical="center"/>
    </xf>
    <xf numFmtId="0" fontId="49" fillId="63" borderId="6" xfId="0" applyFont="1" applyFill="1" applyBorder="1" applyAlignment="1">
      <alignment horizontal="center" vertical="center"/>
    </xf>
    <xf numFmtId="0" fontId="50" fillId="53" borderId="0" xfId="0" applyFont="1" applyFill="1" applyAlignment="1">
      <alignment horizontal="center" vertical="center"/>
    </xf>
    <xf numFmtId="0" fontId="49" fillId="53" borderId="0" xfId="0" applyFont="1" applyFill="1" applyAlignment="1">
      <alignment horizontal="center" vertical="center"/>
    </xf>
    <xf numFmtId="0" fontId="49" fillId="53" borderId="6" xfId="0" applyFont="1" applyFill="1" applyBorder="1" applyAlignment="1">
      <alignment horizontal="center" vertical="center"/>
    </xf>
    <xf numFmtId="1" fontId="49" fillId="0" borderId="0" xfId="0" applyNumberFormat="1" applyFont="1" applyAlignment="1">
      <alignment horizontal="center" vertical="center"/>
    </xf>
    <xf numFmtId="0" fontId="7" fillId="53" borderId="0" xfId="9" applyFont="1" applyFill="1" applyBorder="1" applyAlignment="1">
      <alignment horizontal="center" vertical="center"/>
    </xf>
    <xf numFmtId="0" fontId="50" fillId="53" borderId="6" xfId="0" applyFont="1" applyFill="1" applyBorder="1" applyAlignment="1">
      <alignment horizontal="center" vertical="center"/>
    </xf>
    <xf numFmtId="0" fontId="7" fillId="51" borderId="0" xfId="9" applyFont="1" applyFill="1" applyBorder="1" applyAlignment="1">
      <alignment horizontal="center" vertical="center"/>
    </xf>
    <xf numFmtId="0" fontId="50" fillId="51" borderId="0" xfId="0" applyFont="1" applyFill="1" applyAlignment="1">
      <alignment horizontal="center" vertical="center"/>
    </xf>
    <xf numFmtId="0" fontId="49" fillId="51" borderId="0" xfId="0" applyFont="1" applyFill="1" applyAlignment="1">
      <alignment horizontal="center" vertical="center"/>
    </xf>
    <xf numFmtId="0" fontId="49" fillId="51" borderId="6" xfId="0" applyFont="1" applyFill="1" applyBorder="1" applyAlignment="1">
      <alignment horizontal="center" vertical="center"/>
    </xf>
    <xf numFmtId="0" fontId="49" fillId="54" borderId="0" xfId="0" applyFont="1" applyFill="1" applyAlignment="1">
      <alignment horizontal="center" vertical="center"/>
    </xf>
    <xf numFmtId="0" fontId="49" fillId="54" borderId="6" xfId="0" applyFont="1" applyFill="1" applyBorder="1" applyAlignment="1">
      <alignment horizontal="center" vertical="center"/>
    </xf>
    <xf numFmtId="0" fontId="49" fillId="0" borderId="7" xfId="0" applyFont="1" applyBorder="1" applyAlignment="1">
      <alignment vertical="center"/>
    </xf>
    <xf numFmtId="0" fontId="49" fillId="0" borderId="1" xfId="0" applyFont="1" applyBorder="1" applyAlignment="1">
      <alignment vertical="center"/>
    </xf>
    <xf numFmtId="0" fontId="49" fillId="0" borderId="1" xfId="0" applyFont="1" applyBorder="1" applyAlignment="1">
      <alignment horizontal="center" vertical="center"/>
    </xf>
    <xf numFmtId="0" fontId="7" fillId="53" borderId="1" xfId="9" applyFont="1" applyFill="1" applyBorder="1" applyAlignment="1">
      <alignment horizontal="center" vertical="center"/>
    </xf>
    <xf numFmtId="0" fontId="49" fillId="53" borderId="1" xfId="0" applyFont="1" applyFill="1" applyBorder="1" applyAlignment="1">
      <alignment horizontal="center" vertical="center"/>
    </xf>
    <xf numFmtId="0" fontId="49" fillId="53" borderId="8" xfId="0" applyFont="1" applyFill="1" applyBorder="1" applyAlignment="1">
      <alignment horizontal="center" vertical="center"/>
    </xf>
    <xf numFmtId="0" fontId="1" fillId="0" borderId="17" xfId="0" applyFont="1" applyBorder="1" applyAlignment="1">
      <alignment horizontal="left" vertical="center" wrapText="1"/>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6" xfId="0" applyFont="1" applyBorder="1" applyAlignment="1">
      <alignment horizontal="left" vertical="center" wrapText="1"/>
    </xf>
    <xf numFmtId="1" fontId="49" fillId="0" borderId="6" xfId="0" applyNumberFormat="1" applyFont="1" applyBorder="1" applyAlignment="1">
      <alignment horizontal="center" vertical="center"/>
    </xf>
    <xf numFmtId="0" fontId="0" fillId="0" borderId="6" xfId="0" applyBorder="1" applyAlignment="1">
      <alignment horizontal="center" vertical="center"/>
    </xf>
    <xf numFmtId="0" fontId="49" fillId="0" borderId="6" xfId="0" applyFont="1" applyBorder="1" applyAlignment="1">
      <alignment horizontal="left" vertical="center"/>
    </xf>
    <xf numFmtId="0" fontId="2" fillId="0" borderId="6" xfId="1" applyFill="1" applyBorder="1" applyAlignment="1">
      <alignment horizontal="left" vertical="center" wrapText="1"/>
    </xf>
    <xf numFmtId="0" fontId="49" fillId="0" borderId="8" xfId="0" applyFont="1" applyBorder="1" applyAlignment="1">
      <alignment horizontal="center" vertical="center"/>
    </xf>
    <xf numFmtId="0" fontId="2" fillId="0" borderId="0" xfId="1" applyAlignment="1">
      <alignment horizontal="left"/>
    </xf>
    <xf numFmtId="0" fontId="0" fillId="0" borderId="13" xfId="0" applyBorder="1"/>
    <xf numFmtId="0" fontId="0" fillId="0" borderId="14" xfId="0" applyBorder="1"/>
    <xf numFmtId="0" fontId="0" fillId="0" borderId="2" xfId="0" applyBorder="1"/>
    <xf numFmtId="0" fontId="0" fillId="0" borderId="81" xfId="0" applyBorder="1"/>
    <xf numFmtId="0" fontId="0" fillId="0" borderId="82" xfId="0" applyBorder="1"/>
    <xf numFmtId="0" fontId="0" fillId="0" borderId="83" xfId="0" applyBorder="1"/>
    <xf numFmtId="0" fontId="0" fillId="0" borderId="84" xfId="0" applyBorder="1"/>
    <xf numFmtId="167" fontId="0" fillId="0" borderId="5" xfId="0" applyNumberFormat="1" applyBorder="1"/>
    <xf numFmtId="167" fontId="0" fillId="0" borderId="6" xfId="0" applyNumberFormat="1" applyBorder="1"/>
    <xf numFmtId="167" fontId="0" fillId="0" borderId="7" xfId="0" applyNumberFormat="1" applyBorder="1"/>
    <xf numFmtId="167" fontId="0" fillId="0" borderId="1" xfId="0" applyNumberFormat="1" applyBorder="1"/>
    <xf numFmtId="167" fontId="0" fillId="0" borderId="8" xfId="0" applyNumberFormat="1" applyBorder="1"/>
    <xf numFmtId="1" fontId="0" fillId="0" borderId="5" xfId="0" applyNumberFormat="1" applyBorder="1"/>
    <xf numFmtId="1" fontId="0" fillId="0" borderId="6" xfId="0" applyNumberFormat="1" applyBorder="1"/>
    <xf numFmtId="1" fontId="0" fillId="0" borderId="2" xfId="0" applyNumberFormat="1" applyBorder="1"/>
    <xf numFmtId="1" fontId="0" fillId="0" borderId="3" xfId="0" applyNumberFormat="1" applyBorder="1"/>
    <xf numFmtId="1" fontId="0" fillId="0" borderId="4" xfId="0" applyNumberFormat="1" applyBorder="1"/>
    <xf numFmtId="0" fontId="63" fillId="0" borderId="0" xfId="0" applyFont="1" applyAlignment="1">
      <alignment horizontal="center"/>
    </xf>
    <xf numFmtId="0" fontId="7" fillId="0" borderId="2"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left" vertical="center"/>
    </xf>
    <xf numFmtId="0" fontId="10"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0" xfId="0" applyFont="1" applyAlignment="1">
      <alignment horizontal="left"/>
    </xf>
    <xf numFmtId="0" fontId="88" fillId="0" borderId="0" xfId="1" applyFont="1" applyFill="1"/>
    <xf numFmtId="0" fontId="76" fillId="0" borderId="19" xfId="0" applyFont="1" applyBorder="1" applyAlignment="1">
      <alignment vertical="center"/>
    </xf>
    <xf numFmtId="0" fontId="75" fillId="56" borderId="12" xfId="0" applyFont="1" applyFill="1" applyBorder="1" applyAlignment="1">
      <alignment vertical="center"/>
    </xf>
    <xf numFmtId="0" fontId="75" fillId="56" borderId="13" xfId="0" applyFont="1" applyFill="1" applyBorder="1" applyAlignment="1">
      <alignment vertical="center"/>
    </xf>
    <xf numFmtId="0" fontId="77" fillId="40" borderId="16" xfId="0" applyFont="1" applyFill="1" applyBorder="1" applyAlignment="1">
      <alignment horizontal="center" vertical="center" wrapText="1"/>
    </xf>
    <xf numFmtId="0" fontId="75" fillId="40" borderId="18" xfId="0" applyFont="1" applyFill="1" applyBorder="1" applyAlignment="1">
      <alignment horizontal="center" vertical="center" wrapText="1"/>
    </xf>
    <xf numFmtId="0" fontId="0" fillId="49" borderId="0" xfId="0" applyFill="1" applyAlignment="1">
      <alignment vertical="top"/>
    </xf>
    <xf numFmtId="0" fontId="0" fillId="49" borderId="0" xfId="0" applyFill="1"/>
    <xf numFmtId="0" fontId="2" fillId="49" borderId="0" xfId="1" applyFill="1"/>
    <xf numFmtId="0" fontId="90" fillId="49" borderId="0" xfId="0" applyFont="1" applyFill="1" applyAlignment="1">
      <alignment vertical="top"/>
    </xf>
    <xf numFmtId="0" fontId="0" fillId="0" borderId="85" xfId="0" applyBorder="1"/>
    <xf numFmtId="0" fontId="0" fillId="0" borderId="85" xfId="0" applyBorder="1" applyAlignment="1">
      <alignment horizontal="center"/>
    </xf>
    <xf numFmtId="0" fontId="1" fillId="0" borderId="86" xfId="0" applyFont="1" applyBorder="1" applyAlignment="1">
      <alignment horizontal="center" vertical="center" wrapText="1"/>
    </xf>
    <xf numFmtId="0" fontId="1" fillId="0" borderId="79" xfId="0" applyFont="1" applyBorder="1" applyAlignment="1">
      <alignment horizontal="center"/>
    </xf>
    <xf numFmtId="0" fontId="1" fillId="0" borderId="87" xfId="0" applyFont="1" applyBorder="1" applyAlignment="1">
      <alignment horizontal="center"/>
    </xf>
    <xf numFmtId="0" fontId="1" fillId="0" borderId="86" xfId="0" applyFont="1" applyBorder="1" applyAlignment="1">
      <alignment horizontal="center"/>
    </xf>
    <xf numFmtId="0" fontId="1" fillId="0" borderId="85" xfId="0" applyFont="1" applyBorder="1" applyAlignment="1">
      <alignment horizontal="center" vertical="center" wrapText="1"/>
    </xf>
    <xf numFmtId="0" fontId="0" fillId="0" borderId="80" xfId="0" applyBorder="1" applyAlignment="1">
      <alignment horizontal="center"/>
    </xf>
    <xf numFmtId="0" fontId="0" fillId="0" borderId="10" xfId="0" applyBorder="1" applyAlignment="1">
      <alignment horizontal="center"/>
    </xf>
    <xf numFmtId="167" fontId="28" fillId="0" borderId="0" xfId="0" applyNumberFormat="1" applyFont="1" applyAlignment="1">
      <alignment horizontal="center"/>
    </xf>
    <xf numFmtId="2" fontId="52" fillId="0" borderId="0" xfId="0" applyNumberFormat="1" applyFont="1" applyAlignment="1">
      <alignment horizontal="center"/>
    </xf>
    <xf numFmtId="167" fontId="0" fillId="0" borderId="0" xfId="0" applyNumberFormat="1" applyAlignment="1">
      <alignment horizontal="center"/>
    </xf>
    <xf numFmtId="0" fontId="91" fillId="0" borderId="9" xfId="0" applyFont="1" applyBorder="1"/>
    <xf numFmtId="0" fontId="0" fillId="0" borderId="9" xfId="0" applyBorder="1" applyAlignment="1">
      <alignment horizontal="center"/>
    </xf>
    <xf numFmtId="167" fontId="0" fillId="0" borderId="9" xfId="0" applyNumberFormat="1" applyBorder="1" applyAlignment="1">
      <alignment horizontal="center"/>
    </xf>
    <xf numFmtId="0" fontId="0" fillId="0" borderId="9" xfId="0" applyBorder="1" applyAlignment="1">
      <alignment horizontal="left"/>
    </xf>
    <xf numFmtId="0" fontId="1" fillId="41" borderId="81" xfId="0" applyFont="1" applyFill="1" applyBorder="1" applyAlignment="1">
      <alignment horizontal="center"/>
    </xf>
    <xf numFmtId="0" fontId="1" fillId="41" borderId="2" xfId="0" applyFont="1" applyFill="1" applyBorder="1" applyAlignment="1">
      <alignment horizontal="left"/>
    </xf>
    <xf numFmtId="0" fontId="0" fillId="41" borderId="3" xfId="0" applyFill="1" applyBorder="1" applyAlignment="1">
      <alignment horizontal="center"/>
    </xf>
    <xf numFmtId="0" fontId="0" fillId="41" borderId="3" xfId="0" applyFill="1" applyBorder="1"/>
    <xf numFmtId="0" fontId="0" fillId="41" borderId="4" xfId="0" applyFill="1" applyBorder="1" applyAlignment="1">
      <alignment horizontal="center"/>
    </xf>
    <xf numFmtId="0" fontId="1" fillId="3" borderId="31" xfId="0" applyFont="1" applyFill="1" applyBorder="1" applyAlignment="1">
      <alignment horizontal="left"/>
    </xf>
    <xf numFmtId="0" fontId="0" fillId="49" borderId="88" xfId="0" applyFill="1" applyBorder="1" applyAlignment="1">
      <alignment horizontal="center"/>
    </xf>
    <xf numFmtId="0" fontId="0" fillId="49" borderId="89" xfId="0" applyFill="1" applyBorder="1" applyAlignment="1">
      <alignment horizontal="center"/>
    </xf>
    <xf numFmtId="0" fontId="0" fillId="49" borderId="5" xfId="0" applyFill="1" applyBorder="1" applyAlignment="1">
      <alignment horizontal="left"/>
    </xf>
    <xf numFmtId="0" fontId="0" fillId="49" borderId="0" xfId="0" applyFill="1" applyAlignment="1">
      <alignment horizontal="center"/>
    </xf>
    <xf numFmtId="0" fontId="0" fillId="49" borderId="6" xfId="0" applyFill="1" applyBorder="1" applyAlignment="1">
      <alignment horizontal="center"/>
    </xf>
    <xf numFmtId="0" fontId="1" fillId="3" borderId="90" xfId="0" applyFont="1" applyFill="1" applyBorder="1" applyAlignment="1">
      <alignment horizontal="left"/>
    </xf>
    <xf numFmtId="0" fontId="0" fillId="49" borderId="29" xfId="0" applyFill="1" applyBorder="1" applyAlignment="1">
      <alignment horizontal="center"/>
    </xf>
    <xf numFmtId="0" fontId="0" fillId="49" borderId="91" xfId="0" applyFill="1" applyBorder="1" applyAlignment="1">
      <alignment horizontal="center"/>
    </xf>
    <xf numFmtId="1" fontId="0" fillId="49" borderId="29" xfId="0" applyNumberFormat="1" applyFill="1" applyBorder="1" applyAlignment="1">
      <alignment horizontal="center"/>
    </xf>
    <xf numFmtId="0" fontId="1" fillId="3" borderId="92" xfId="0" applyFont="1" applyFill="1" applyBorder="1" applyAlignment="1">
      <alignment horizontal="left"/>
    </xf>
    <xf numFmtId="0" fontId="0" fillId="49" borderId="93" xfId="0" applyFill="1" applyBorder="1" applyAlignment="1">
      <alignment horizontal="center"/>
    </xf>
    <xf numFmtId="0" fontId="0" fillId="49" borderId="94" xfId="0" applyFill="1" applyBorder="1" applyAlignment="1">
      <alignment horizontal="center"/>
    </xf>
    <xf numFmtId="0" fontId="1" fillId="41" borderId="5" xfId="0" applyFont="1" applyFill="1" applyBorder="1" applyAlignment="1">
      <alignment horizontal="left"/>
    </xf>
    <xf numFmtId="0" fontId="0" fillId="41" borderId="0" xfId="0" applyFill="1" applyAlignment="1">
      <alignment horizontal="center"/>
    </xf>
    <xf numFmtId="0" fontId="5" fillId="41" borderId="0" xfId="0" applyFont="1" applyFill="1" applyAlignment="1">
      <alignment horizontal="left" vertical="center" indent="1" readingOrder="1"/>
    </xf>
    <xf numFmtId="0" fontId="0" fillId="41" borderId="6" xfId="0" applyFill="1" applyBorder="1" applyAlignment="1">
      <alignment horizontal="center"/>
    </xf>
    <xf numFmtId="0" fontId="0" fillId="49" borderId="95" xfId="0" applyFill="1" applyBorder="1"/>
    <xf numFmtId="0" fontId="2" fillId="49" borderId="0" xfId="1" applyFill="1" applyBorder="1"/>
    <xf numFmtId="0" fontId="5" fillId="49" borderId="0" xfId="0" applyFont="1" applyFill="1" applyAlignment="1">
      <alignment horizontal="left" vertical="center" indent="1" readingOrder="1"/>
    </xf>
    <xf numFmtId="0" fontId="2" fillId="49" borderId="0" xfId="1" applyFill="1" applyBorder="1" applyAlignment="1">
      <alignment horizontal="left" vertical="center" readingOrder="1"/>
    </xf>
    <xf numFmtId="0" fontId="2" fillId="49" borderId="95" xfId="1" applyFill="1" applyBorder="1"/>
    <xf numFmtId="0" fontId="92" fillId="49" borderId="0" xfId="0" applyFont="1" applyFill="1" applyAlignment="1">
      <alignment horizontal="left" vertical="center" indent="8" readingOrder="1"/>
    </xf>
    <xf numFmtId="0" fontId="0" fillId="49" borderId="96" xfId="0" applyFill="1" applyBorder="1"/>
    <xf numFmtId="0" fontId="2" fillId="49" borderId="1" xfId="1" applyFill="1" applyBorder="1"/>
    <xf numFmtId="0" fontId="5" fillId="49" borderId="1" xfId="0" applyFont="1" applyFill="1" applyBorder="1" applyAlignment="1">
      <alignment horizontal="left" vertical="center" indent="1" readingOrder="1"/>
    </xf>
    <xf numFmtId="0" fontId="0" fillId="49" borderId="1" xfId="0" applyFill="1" applyBorder="1" applyAlignment="1">
      <alignment horizontal="center"/>
    </xf>
    <xf numFmtId="0" fontId="0" fillId="49" borderId="8" xfId="0" applyFill="1" applyBorder="1" applyAlignment="1">
      <alignment horizontal="center"/>
    </xf>
    <xf numFmtId="171" fontId="0" fillId="0" borderId="0" xfId="2" applyNumberFormat="1" applyFont="1" applyAlignment="1">
      <alignment horizontal="center"/>
    </xf>
    <xf numFmtId="2" fontId="89" fillId="0" borderId="0" xfId="0" applyNumberFormat="1" applyFont="1" applyAlignment="1">
      <alignment horizontal="center"/>
    </xf>
    <xf numFmtId="9" fontId="26" fillId="0" borderId="0" xfId="3" applyFont="1" applyFill="1" applyBorder="1" applyAlignment="1">
      <alignment horizontal="center"/>
    </xf>
    <xf numFmtId="0" fontId="1" fillId="41" borderId="78" xfId="0" applyFont="1" applyFill="1" applyBorder="1" applyAlignment="1">
      <alignment horizontal="center"/>
    </xf>
    <xf numFmtId="0" fontId="1" fillId="41" borderId="82" xfId="0" applyFont="1" applyFill="1" applyBorder="1" applyAlignment="1">
      <alignment horizontal="center"/>
    </xf>
    <xf numFmtId="0" fontId="0" fillId="49" borderId="97" xfId="0" applyFill="1" applyBorder="1" applyAlignment="1">
      <alignment horizontal="center"/>
    </xf>
    <xf numFmtId="0" fontId="0" fillId="49" borderId="98" xfId="0" applyFill="1" applyBorder="1" applyAlignment="1">
      <alignment horizontal="center"/>
    </xf>
    <xf numFmtId="1" fontId="0" fillId="49" borderId="98" xfId="0" applyNumberFormat="1" applyFill="1" applyBorder="1" applyAlignment="1">
      <alignment horizontal="center"/>
    </xf>
    <xf numFmtId="0" fontId="0" fillId="49" borderId="5" xfId="0" applyFill="1" applyBorder="1"/>
    <xf numFmtId="0" fontId="0" fillId="49" borderId="99" xfId="0" applyFill="1" applyBorder="1" applyAlignment="1">
      <alignment horizontal="center"/>
    </xf>
    <xf numFmtId="0" fontId="2" fillId="49" borderId="1" xfId="1" applyFill="1" applyBorder="1" applyAlignment="1">
      <alignment horizontal="left" vertical="center" readingOrder="1"/>
    </xf>
    <xf numFmtId="0" fontId="2" fillId="0" borderId="0" xfId="1" applyFill="1" applyBorder="1" applyAlignment="1">
      <alignment horizontal="left" vertical="center" readingOrder="1"/>
    </xf>
    <xf numFmtId="0" fontId="5" fillId="0" borderId="0" xfId="0" applyFont="1" applyAlignment="1">
      <alignment horizontal="left" vertical="center" indent="1" readingOrder="1"/>
    </xf>
    <xf numFmtId="0" fontId="77" fillId="49" borderId="0" xfId="0" applyFont="1" applyFill="1" applyAlignment="1">
      <alignment horizontal="left" vertical="center" indent="7" readingOrder="1"/>
    </xf>
    <xf numFmtId="0" fontId="77" fillId="49" borderId="1" xfId="0" applyFont="1" applyFill="1" applyBorder="1" applyAlignment="1">
      <alignment horizontal="left" vertical="center" indent="7" readingOrder="1"/>
    </xf>
    <xf numFmtId="0" fontId="77" fillId="0" borderId="0" xfId="0" applyFont="1" applyAlignment="1">
      <alignment horizontal="left" vertical="center" indent="7" readingOrder="1"/>
    </xf>
    <xf numFmtId="0" fontId="1" fillId="3" borderId="97" xfId="0" applyFont="1" applyFill="1" applyBorder="1" applyAlignment="1">
      <alignment horizontal="left"/>
    </xf>
    <xf numFmtId="1" fontId="0" fillId="49" borderId="88" xfId="2" applyNumberFormat="1" applyFont="1" applyFill="1" applyBorder="1" applyAlignment="1">
      <alignment horizontal="center"/>
    </xf>
    <xf numFmtId="0" fontId="1" fillId="3" borderId="99" xfId="0" applyFont="1" applyFill="1" applyBorder="1" applyAlignment="1">
      <alignment horizontal="left"/>
    </xf>
    <xf numFmtId="0" fontId="2" fillId="0" borderId="0" xfId="1" applyAlignment="1">
      <alignment horizontal="left" vertical="center" indent="1" readingOrder="1"/>
    </xf>
    <xf numFmtId="0" fontId="94" fillId="0" borderId="0" xfId="0" applyFont="1" applyAlignment="1">
      <alignment horizontal="left" vertical="center" indent="1" readingOrder="1"/>
    </xf>
    <xf numFmtId="0" fontId="2" fillId="0" borderId="0" xfId="1" applyFill="1" applyBorder="1"/>
    <xf numFmtId="167" fontId="0" fillId="0" borderId="0" xfId="2" applyNumberFormat="1" applyFont="1" applyAlignment="1">
      <alignment horizontal="center"/>
    </xf>
    <xf numFmtId="0" fontId="1" fillId="3" borderId="37" xfId="0" applyFont="1" applyFill="1" applyBorder="1" applyAlignment="1">
      <alignment horizontal="center"/>
    </xf>
    <xf numFmtId="0" fontId="1" fillId="3" borderId="81" xfId="0" applyFont="1" applyFill="1" applyBorder="1" applyAlignment="1">
      <alignment horizontal="center"/>
    </xf>
    <xf numFmtId="1" fontId="0" fillId="49" borderId="97" xfId="2" applyNumberFormat="1" applyFont="1" applyFill="1" applyBorder="1" applyAlignment="1">
      <alignment horizontal="center"/>
    </xf>
    <xf numFmtId="10" fontId="0" fillId="49" borderId="98" xfId="0" applyNumberFormat="1" applyFill="1" applyBorder="1" applyAlignment="1">
      <alignment horizontal="center"/>
    </xf>
    <xf numFmtId="0" fontId="0" fillId="49" borderId="6" xfId="0" applyFill="1" applyBorder="1"/>
    <xf numFmtId="0" fontId="5" fillId="41" borderId="3" xfId="0" applyFont="1" applyFill="1" applyBorder="1" applyAlignment="1">
      <alignment horizontal="left" vertical="center" indent="1" readingOrder="1"/>
    </xf>
    <xf numFmtId="0" fontId="1" fillId="3" borderId="100" xfId="0" applyFont="1" applyFill="1" applyBorder="1"/>
    <xf numFmtId="0" fontId="2" fillId="3" borderId="36" xfId="1" applyFill="1" applyBorder="1" applyAlignment="1">
      <alignment horizontal="left" vertical="center" readingOrder="1"/>
    </xf>
    <xf numFmtId="0" fontId="5" fillId="3" borderId="36" xfId="0" applyFont="1" applyFill="1" applyBorder="1" applyAlignment="1">
      <alignment horizontal="left" vertical="center" indent="1" readingOrder="1"/>
    </xf>
    <xf numFmtId="0" fontId="0" fillId="3" borderId="36" xfId="0" applyFill="1" applyBorder="1" applyAlignment="1">
      <alignment horizontal="center"/>
    </xf>
    <xf numFmtId="0" fontId="0" fillId="3" borderId="101" xfId="0" applyFill="1" applyBorder="1" applyAlignment="1">
      <alignment horizontal="center"/>
    </xf>
    <xf numFmtId="0" fontId="0" fillId="49" borderId="102" xfId="0" applyFill="1" applyBorder="1" applyAlignment="1">
      <alignment horizontal="left"/>
    </xf>
    <xf numFmtId="0" fontId="0" fillId="49" borderId="0" xfId="0" applyFill="1" applyAlignment="1">
      <alignment horizontal="left" vertical="center" indent="1" readingOrder="1"/>
    </xf>
    <xf numFmtId="0" fontId="0" fillId="49" borderId="0" xfId="0" applyFill="1" applyAlignment="1">
      <alignment horizontal="left"/>
    </xf>
    <xf numFmtId="0" fontId="0" fillId="49" borderId="6" xfId="0" applyFill="1" applyBorder="1" applyAlignment="1">
      <alignment horizontal="left"/>
    </xf>
    <xf numFmtId="0" fontId="0" fillId="49" borderId="5" xfId="0" applyFill="1" applyBorder="1" applyAlignment="1">
      <alignment horizontal="left" vertical="center" readingOrder="1"/>
    </xf>
    <xf numFmtId="0" fontId="0" fillId="49" borderId="7" xfId="0" applyFill="1" applyBorder="1" applyAlignment="1">
      <alignment horizontal="left" vertical="center" readingOrder="1"/>
    </xf>
    <xf numFmtId="0" fontId="95" fillId="49" borderId="103" xfId="0" applyFont="1" applyFill="1" applyBorder="1" applyAlignment="1">
      <alignment horizontal="left"/>
    </xf>
    <xf numFmtId="0" fontId="0" fillId="49" borderId="1" xfId="0" applyFill="1" applyBorder="1" applyAlignment="1">
      <alignment horizontal="left" vertical="center" indent="1" readingOrder="1"/>
    </xf>
    <xf numFmtId="0" fontId="0" fillId="49" borderId="1" xfId="0" applyFill="1" applyBorder="1" applyAlignment="1">
      <alignment horizontal="left"/>
    </xf>
    <xf numFmtId="0" fontId="0" fillId="49" borderId="8" xfId="0" applyFill="1" applyBorder="1" applyAlignment="1">
      <alignment horizontal="left"/>
    </xf>
    <xf numFmtId="0" fontId="94" fillId="0" borderId="0" xfId="0" applyFont="1" applyAlignment="1">
      <alignment horizontal="left" vertical="center" indent="6" readingOrder="1"/>
    </xf>
    <xf numFmtId="1" fontId="0" fillId="49" borderId="0" xfId="2" applyNumberFormat="1" applyFont="1" applyFill="1" applyAlignment="1">
      <alignment horizontal="center"/>
    </xf>
    <xf numFmtId="1" fontId="0" fillId="0" borderId="0" xfId="2" applyNumberFormat="1" applyFont="1" applyFill="1" applyAlignment="1">
      <alignment horizontal="center"/>
    </xf>
    <xf numFmtId="9" fontId="0" fillId="0" borderId="0" xfId="3" applyFont="1" applyBorder="1" applyAlignment="1">
      <alignment horizontal="center"/>
    </xf>
    <xf numFmtId="0" fontId="97" fillId="0" borderId="0" xfId="0" applyFont="1"/>
    <xf numFmtId="0" fontId="0" fillId="3" borderId="2" xfId="0" applyFill="1" applyBorder="1" applyAlignment="1">
      <alignment horizontal="center"/>
    </xf>
    <xf numFmtId="0" fontId="1" fillId="3" borderId="82" xfId="0" applyFont="1" applyFill="1" applyBorder="1" applyAlignment="1">
      <alignment horizontal="center"/>
    </xf>
    <xf numFmtId="167" fontId="0" fillId="49" borderId="97" xfId="2" applyNumberFormat="1" applyFont="1" applyFill="1" applyBorder="1" applyAlignment="1">
      <alignment horizontal="center"/>
    </xf>
    <xf numFmtId="9" fontId="0" fillId="49" borderId="98" xfId="0" applyNumberFormat="1" applyFill="1" applyBorder="1" applyAlignment="1">
      <alignment horizontal="center"/>
    </xf>
    <xf numFmtId="0" fontId="7" fillId="64" borderId="98" xfId="0" applyFont="1" applyFill="1" applyBorder="1" applyAlignment="1">
      <alignment horizontal="center"/>
    </xf>
    <xf numFmtId="0" fontId="7" fillId="64" borderId="99" xfId="0" applyFont="1" applyFill="1" applyBorder="1" applyAlignment="1">
      <alignment horizontal="center"/>
    </xf>
    <xf numFmtId="0" fontId="0" fillId="0" borderId="0" xfId="0" applyAlignment="1">
      <alignment horizontal="left" vertical="center" readingOrder="1"/>
    </xf>
    <xf numFmtId="0" fontId="95" fillId="0" borderId="0" xfId="0" applyFont="1" applyAlignment="1">
      <alignment horizontal="left"/>
    </xf>
    <xf numFmtId="0" fontId="0" fillId="0" borderId="0" xfId="0" applyAlignment="1">
      <alignment horizontal="left" vertical="center" indent="1" readingOrder="1"/>
    </xf>
    <xf numFmtId="1" fontId="0" fillId="0" borderId="0" xfId="0" applyNumberFormat="1" applyAlignment="1">
      <alignment horizontal="center" vertical="top"/>
    </xf>
    <xf numFmtId="9" fontId="0" fillId="0" borderId="0" xfId="3" applyFont="1" applyAlignment="1">
      <alignment horizontal="center" vertical="center"/>
    </xf>
    <xf numFmtId="0" fontId="7" fillId="49" borderId="5" xfId="0" applyFont="1" applyFill="1" applyBorder="1" applyAlignment="1">
      <alignment horizontal="left"/>
    </xf>
    <xf numFmtId="0" fontId="7" fillId="49" borderId="0" xfId="0" applyFont="1" applyFill="1" applyAlignment="1">
      <alignment horizontal="center"/>
    </xf>
    <xf numFmtId="0" fontId="7" fillId="49" borderId="0" xfId="0" applyFont="1" applyFill="1"/>
    <xf numFmtId="0" fontId="7" fillId="49" borderId="6" xfId="0" applyFont="1" applyFill="1" applyBorder="1" applyAlignment="1">
      <alignment horizontal="center"/>
    </xf>
    <xf numFmtId="0" fontId="7" fillId="49" borderId="0" xfId="0" applyFont="1" applyFill="1" applyAlignment="1">
      <alignment horizontal="left"/>
    </xf>
    <xf numFmtId="0" fontId="10" fillId="49" borderId="5" xfId="0" applyFont="1" applyFill="1" applyBorder="1" applyAlignment="1">
      <alignment horizontal="left"/>
    </xf>
    <xf numFmtId="0" fontId="7" fillId="49" borderId="7" xfId="0" applyFont="1" applyFill="1" applyBorder="1" applyAlignment="1">
      <alignment horizontal="left"/>
    </xf>
    <xf numFmtId="0" fontId="7" fillId="49" borderId="1" xfId="0" applyFont="1" applyFill="1" applyBorder="1" applyAlignment="1">
      <alignment horizontal="left"/>
    </xf>
    <xf numFmtId="0" fontId="7" fillId="49" borderId="1" xfId="0" applyFont="1" applyFill="1" applyBorder="1"/>
    <xf numFmtId="0" fontId="7" fillId="49" borderId="1" xfId="0" applyFont="1" applyFill="1" applyBorder="1" applyAlignment="1">
      <alignment horizontal="center"/>
    </xf>
    <xf numFmtId="0" fontId="7" fillId="49" borderId="8" xfId="0" applyFont="1" applyFill="1" applyBorder="1" applyAlignment="1">
      <alignment horizontal="center"/>
    </xf>
    <xf numFmtId="1" fontId="0" fillId="0" borderId="0" xfId="2" applyNumberFormat="1" applyFont="1" applyBorder="1" applyAlignment="1">
      <alignment horizontal="center"/>
    </xf>
    <xf numFmtId="167" fontId="0" fillId="0" borderId="0" xfId="2" applyNumberFormat="1" applyFont="1" applyBorder="1" applyAlignment="1">
      <alignment horizontal="center"/>
    </xf>
    <xf numFmtId="0" fontId="49" fillId="52" borderId="16" xfId="0" applyFont="1" applyFill="1" applyBorder="1" applyAlignment="1">
      <alignment horizontal="center" vertical="center"/>
    </xf>
    <xf numFmtId="0" fontId="50" fillId="52" borderId="17" xfId="0" applyFont="1" applyFill="1" applyBorder="1" applyAlignment="1">
      <alignment horizontal="center" vertical="center"/>
    </xf>
    <xf numFmtId="0" fontId="50" fillId="54" borderId="17" xfId="0" applyFont="1" applyFill="1" applyBorder="1" applyAlignment="1">
      <alignment horizontal="center" vertical="center"/>
    </xf>
    <xf numFmtId="0" fontId="50" fillId="53" borderId="17" xfId="0" applyFont="1" applyFill="1" applyBorder="1" applyAlignment="1">
      <alignment horizontal="center" vertical="center"/>
    </xf>
    <xf numFmtId="0" fontId="7" fillId="53" borderId="17" xfId="9" applyFont="1" applyFill="1" applyBorder="1" applyAlignment="1">
      <alignment horizontal="center" vertical="center"/>
    </xf>
    <xf numFmtId="0" fontId="50" fillId="51" borderId="17" xfId="0" applyFont="1" applyFill="1" applyBorder="1" applyAlignment="1">
      <alignment horizontal="center" vertical="center"/>
    </xf>
    <xf numFmtId="0" fontId="49" fillId="52" borderId="17" xfId="0" applyFont="1" applyFill="1" applyBorder="1" applyAlignment="1">
      <alignment horizontal="center" vertical="center"/>
    </xf>
    <xf numFmtId="0" fontId="49" fillId="53" borderId="17" xfId="0" applyFont="1" applyFill="1" applyBorder="1" applyAlignment="1">
      <alignment horizontal="center" vertical="center"/>
    </xf>
    <xf numFmtId="0" fontId="49" fillId="51" borderId="17" xfId="0" applyFont="1" applyFill="1" applyBorder="1" applyAlignment="1">
      <alignment horizontal="center" vertical="center"/>
    </xf>
    <xf numFmtId="0" fontId="7" fillId="53" borderId="18" xfId="9" applyFont="1" applyFill="1" applyBorder="1" applyAlignment="1">
      <alignment horizontal="center" vertical="center"/>
    </xf>
    <xf numFmtId="0" fontId="7" fillId="0" borderId="78"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68" fontId="7" fillId="0" borderId="0" xfId="0" applyNumberFormat="1" applyFont="1" applyAlignment="1">
      <alignment horizontal="center"/>
    </xf>
    <xf numFmtId="167" fontId="7" fillId="0" borderId="18" xfId="0" applyNumberFormat="1" applyFont="1" applyBorder="1" applyAlignment="1">
      <alignment horizontal="center"/>
    </xf>
    <xf numFmtId="168" fontId="7" fillId="0" borderId="18" xfId="0" applyNumberFormat="1" applyFont="1" applyBorder="1" applyAlignment="1">
      <alignment horizontal="center"/>
    </xf>
    <xf numFmtId="0" fontId="44" fillId="44" borderId="5" xfId="0" applyFont="1" applyFill="1" applyBorder="1" applyAlignment="1">
      <alignment horizontal="center" vertical="center"/>
    </xf>
    <xf numFmtId="0" fontId="0" fillId="49" borderId="0" xfId="0" applyFill="1" applyAlignment="1">
      <alignment horizontal="center" vertical="center"/>
    </xf>
    <xf numFmtId="168" fontId="0" fillId="0" borderId="0" xfId="0" applyNumberFormat="1" applyAlignment="1">
      <alignment horizontal="center" vertical="center"/>
    </xf>
    <xf numFmtId="0" fontId="11" fillId="0" borderId="0" xfId="0" applyFont="1" applyAlignment="1">
      <alignment horizontal="center" vertical="center"/>
    </xf>
    <xf numFmtId="9" fontId="0" fillId="0" borderId="0" xfId="0" applyNumberFormat="1" applyAlignment="1">
      <alignment horizontal="center" vertical="center"/>
    </xf>
    <xf numFmtId="168" fontId="0" fillId="0" borderId="0" xfId="3" applyNumberFormat="1" applyFont="1" applyAlignment="1">
      <alignment horizontal="center"/>
    </xf>
    <xf numFmtId="0" fontId="69" fillId="0" borderId="0" xfId="0" applyFont="1"/>
    <xf numFmtId="0" fontId="26" fillId="0" borderId="0" xfId="0" applyFont="1" applyAlignment="1">
      <alignment horizontal="center" vertical="center"/>
    </xf>
    <xf numFmtId="0" fontId="56" fillId="45" borderId="108" xfId="0" applyFont="1" applyFill="1" applyBorder="1" applyAlignment="1">
      <alignment horizontal="center" vertical="center" wrapText="1"/>
    </xf>
    <xf numFmtId="0" fontId="56" fillId="45" borderId="109" xfId="0" applyFont="1" applyFill="1" applyBorder="1" applyAlignment="1">
      <alignment horizontal="center" vertical="center" wrapText="1"/>
    </xf>
    <xf numFmtId="0" fontId="56" fillId="45" borderId="110" xfId="0" applyFont="1" applyFill="1" applyBorder="1" applyAlignment="1">
      <alignment horizontal="center" vertical="center" wrapText="1"/>
    </xf>
    <xf numFmtId="0" fontId="98" fillId="66" borderId="111" xfId="0" applyFont="1" applyFill="1" applyBorder="1" applyAlignment="1">
      <alignment horizontal="center" vertical="center" wrapText="1"/>
    </xf>
    <xf numFmtId="0" fontId="56" fillId="45" borderId="104" xfId="0" applyFont="1" applyFill="1" applyBorder="1" applyAlignment="1">
      <alignment horizontal="center" vertical="center" wrapText="1"/>
    </xf>
    <xf numFmtId="0" fontId="56" fillId="45" borderId="3" xfId="0" applyFont="1" applyFill="1" applyBorder="1" applyAlignment="1">
      <alignment horizontal="center" vertical="center" wrapText="1"/>
    </xf>
    <xf numFmtId="0" fontId="56" fillId="45" borderId="2" xfId="0" applyFont="1" applyFill="1" applyBorder="1" applyAlignment="1">
      <alignment horizontal="center" vertical="center" wrapText="1"/>
    </xf>
    <xf numFmtId="0" fontId="56" fillId="45" borderId="4" xfId="0" applyFont="1" applyFill="1" applyBorder="1" applyAlignment="1">
      <alignment horizontal="center" vertical="center" wrapText="1"/>
    </xf>
    <xf numFmtId="0" fontId="50" fillId="0" borderId="113" xfId="0" applyFont="1" applyBorder="1" applyAlignment="1">
      <alignment horizontal="center" vertical="center"/>
    </xf>
    <xf numFmtId="0" fontId="50" fillId="0" borderId="106" xfId="0" applyFont="1" applyBorder="1" applyAlignment="1">
      <alignment horizontal="center" vertical="center"/>
    </xf>
    <xf numFmtId="0" fontId="50" fillId="0" borderId="114" xfId="0" applyFont="1" applyBorder="1" applyAlignment="1">
      <alignment horizontal="center" vertical="center"/>
    </xf>
    <xf numFmtId="0" fontId="50" fillId="0" borderId="107" xfId="0" applyFont="1" applyBorder="1" applyAlignment="1">
      <alignment horizontal="center" vertical="center"/>
    </xf>
    <xf numFmtId="168" fontId="50" fillId="0" borderId="0" xfId="3" applyNumberFormat="1" applyFont="1" applyFill="1" applyBorder="1" applyAlignment="1">
      <alignment horizontal="center" vertical="center"/>
    </xf>
    <xf numFmtId="9" fontId="50" fillId="0" borderId="114" xfId="3" applyFont="1" applyFill="1" applyBorder="1" applyAlignment="1">
      <alignment horizontal="center" vertical="center"/>
    </xf>
    <xf numFmtId="0" fontId="99" fillId="0" borderId="5" xfId="0" applyFont="1" applyBorder="1" applyAlignment="1">
      <alignment horizontal="center" vertical="center"/>
    </xf>
    <xf numFmtId="9" fontId="50" fillId="0" borderId="51" xfId="3" applyFont="1" applyFill="1" applyBorder="1" applyAlignment="1">
      <alignment horizontal="center" vertical="center"/>
    </xf>
    <xf numFmtId="0" fontId="49" fillId="0" borderId="5" xfId="0" applyFont="1" applyBorder="1" applyAlignment="1">
      <alignment horizontal="center" vertical="center"/>
    </xf>
    <xf numFmtId="0" fontId="49" fillId="0" borderId="7" xfId="0" applyFont="1" applyBorder="1" applyAlignment="1">
      <alignment horizontal="center" vertical="center"/>
    </xf>
    <xf numFmtId="0" fontId="50" fillId="0" borderId="115" xfId="0" applyFont="1" applyBorder="1" applyAlignment="1">
      <alignment horizontal="center" vertical="center"/>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168" fontId="50" fillId="0" borderId="1" xfId="3" applyNumberFormat="1" applyFont="1" applyFill="1" applyBorder="1" applyAlignment="1">
      <alignment horizontal="center" vertical="center"/>
    </xf>
    <xf numFmtId="9" fontId="50" fillId="0" borderId="115" xfId="3" applyFont="1" applyFill="1" applyBorder="1" applyAlignment="1">
      <alignment horizontal="center" vertical="center"/>
    </xf>
    <xf numFmtId="0" fontId="99" fillId="0" borderId="7" xfId="0" applyFont="1" applyBorder="1" applyAlignment="1">
      <alignment horizontal="center" vertical="center"/>
    </xf>
    <xf numFmtId="9" fontId="50" fillId="0" borderId="40" xfId="3" applyFont="1" applyFill="1" applyBorder="1" applyAlignment="1">
      <alignment horizontal="center" vertical="center"/>
    </xf>
    <xf numFmtId="0" fontId="47" fillId="0" borderId="13" xfId="0" applyFont="1" applyBorder="1" applyAlignment="1">
      <alignment horizontal="center" vertical="center" wrapText="1"/>
    </xf>
    <xf numFmtId="0" fontId="44" fillId="0" borderId="13" xfId="0" applyFont="1" applyBorder="1" applyAlignment="1">
      <alignment horizontal="center"/>
    </xf>
    <xf numFmtId="0" fontId="44" fillId="0" borderId="13" xfId="0" applyFont="1" applyBorder="1" applyAlignment="1">
      <alignment horizontal="center" vertical="center"/>
    </xf>
    <xf numFmtId="0" fontId="99" fillId="0" borderId="13" xfId="0" applyFont="1" applyBorder="1" applyAlignment="1">
      <alignment horizontal="center" vertical="center"/>
    </xf>
    <xf numFmtId="168" fontId="50" fillId="0" borderId="13" xfId="3" applyNumberFormat="1" applyFont="1" applyFill="1" applyBorder="1" applyAlignment="1">
      <alignment horizontal="center" vertical="center"/>
    </xf>
    <xf numFmtId="9" fontId="50" fillId="0" borderId="13" xfId="3" applyFont="1" applyFill="1" applyBorder="1" applyAlignment="1">
      <alignment horizontal="center" vertical="center"/>
    </xf>
    <xf numFmtId="9" fontId="50" fillId="0" borderId="14" xfId="3" applyFont="1" applyFill="1" applyBorder="1" applyAlignment="1">
      <alignment horizontal="center" vertical="center"/>
    </xf>
    <xf numFmtId="0" fontId="50" fillId="0" borderId="111" xfId="0" applyFont="1" applyBorder="1" applyAlignment="1">
      <alignment horizontal="center" vertical="center"/>
    </xf>
    <xf numFmtId="0" fontId="50" fillId="0" borderId="104" xfId="0" applyFont="1" applyBorder="1" applyAlignment="1">
      <alignment horizontal="center" vertical="center"/>
    </xf>
    <xf numFmtId="0" fontId="50" fillId="0" borderId="112" xfId="0" applyFont="1" applyBorder="1" applyAlignment="1">
      <alignment horizontal="center" vertical="center"/>
    </xf>
    <xf numFmtId="0" fontId="50" fillId="0" borderId="105" xfId="0" applyFont="1" applyBorder="1" applyAlignment="1">
      <alignment horizontal="center" vertical="center"/>
    </xf>
    <xf numFmtId="168" fontId="50" fillId="0" borderId="3" xfId="3" applyNumberFormat="1" applyFont="1" applyFill="1" applyBorder="1" applyAlignment="1">
      <alignment horizontal="center" vertical="center"/>
    </xf>
    <xf numFmtId="9" fontId="50" fillId="0" borderId="112" xfId="3" applyFont="1" applyFill="1" applyBorder="1" applyAlignment="1">
      <alignment horizontal="center" vertical="center"/>
    </xf>
    <xf numFmtId="0" fontId="50" fillId="0" borderId="2" xfId="0" applyFont="1" applyBorder="1" applyAlignment="1">
      <alignment horizontal="center" vertical="center"/>
    </xf>
    <xf numFmtId="9" fontId="50" fillId="0" borderId="118" xfId="3" applyFont="1" applyFill="1" applyBorder="1" applyAlignment="1">
      <alignment horizontal="center" vertical="center"/>
    </xf>
    <xf numFmtId="0" fontId="50" fillId="0" borderId="119" xfId="0" applyFont="1" applyBorder="1" applyAlignment="1">
      <alignment horizontal="center" vertical="center"/>
    </xf>
    <xf numFmtId="0" fontId="50" fillId="0" borderId="7" xfId="0" applyFont="1" applyBorder="1" applyAlignment="1">
      <alignment horizontal="center" vertical="center"/>
    </xf>
    <xf numFmtId="0" fontId="49" fillId="0" borderId="2" xfId="0" applyFont="1" applyBorder="1" applyAlignment="1">
      <alignment horizontal="center" vertical="center"/>
    </xf>
    <xf numFmtId="0" fontId="50" fillId="0" borderId="5" xfId="0" applyFont="1" applyBorder="1" applyAlignment="1">
      <alignment horizontal="center" vertical="center"/>
    </xf>
    <xf numFmtId="0" fontId="50" fillId="0" borderId="120" xfId="0" applyFont="1" applyBorder="1" applyAlignment="1">
      <alignment horizontal="center" vertical="center"/>
    </xf>
    <xf numFmtId="0" fontId="50" fillId="0" borderId="12" xfId="0" applyFont="1" applyBorder="1" applyAlignment="1">
      <alignment horizontal="center" vertical="center"/>
    </xf>
    <xf numFmtId="0" fontId="49" fillId="0" borderId="104" xfId="0" applyFont="1" applyBorder="1" applyAlignment="1">
      <alignment horizontal="center" vertical="center"/>
    </xf>
    <xf numFmtId="0" fontId="49" fillId="0" borderId="106" xfId="0" applyFont="1" applyBorder="1" applyAlignment="1">
      <alignment horizontal="center" vertical="center"/>
    </xf>
    <xf numFmtId="0" fontId="50" fillId="0" borderId="121" xfId="0" applyFont="1" applyBorder="1" applyAlignment="1">
      <alignment horizontal="center" vertical="center"/>
    </xf>
    <xf numFmtId="0" fontId="50" fillId="0" borderId="110" xfId="0" applyFont="1" applyBorder="1" applyAlignment="1">
      <alignment horizontal="center" vertical="center"/>
    </xf>
    <xf numFmtId="0" fontId="50" fillId="0" borderId="85" xfId="0" applyFont="1" applyBorder="1" applyAlignment="1">
      <alignment horizontal="center" vertical="center"/>
    </xf>
    <xf numFmtId="0" fontId="50" fillId="0" borderId="80" xfId="0" applyFont="1" applyBorder="1" applyAlignment="1">
      <alignment horizontal="center" vertical="center"/>
    </xf>
    <xf numFmtId="0" fontId="44" fillId="48" borderId="19" xfId="0" applyFont="1" applyFill="1" applyBorder="1" applyAlignment="1">
      <alignment horizontal="center"/>
    </xf>
    <xf numFmtId="0" fontId="49" fillId="0" borderId="122" xfId="0" applyFont="1" applyBorder="1" applyAlignment="1">
      <alignment horizontal="center" vertical="center"/>
    </xf>
    <xf numFmtId="0" fontId="50" fillId="0" borderId="123" xfId="0" applyFont="1" applyBorder="1" applyAlignment="1">
      <alignment horizontal="center" vertical="center"/>
    </xf>
    <xf numFmtId="0" fontId="50" fillId="0" borderId="124" xfId="0" applyFont="1" applyBorder="1" applyAlignment="1">
      <alignment horizontal="center" vertical="center"/>
    </xf>
    <xf numFmtId="0" fontId="50" fillId="0" borderId="125" xfId="0" applyFont="1" applyBorder="1" applyAlignment="1">
      <alignment horizontal="center" vertical="center"/>
    </xf>
    <xf numFmtId="9" fontId="50" fillId="0" borderId="124" xfId="3" applyFont="1" applyFill="1" applyBorder="1" applyAlignment="1">
      <alignment horizontal="center" vertical="center"/>
    </xf>
    <xf numFmtId="9" fontId="50" fillId="0" borderId="50" xfId="3" applyFont="1" applyFill="1" applyBorder="1" applyAlignment="1">
      <alignment horizontal="center" vertical="center"/>
    </xf>
    <xf numFmtId="0" fontId="99" fillId="0" borderId="3" xfId="0" applyFont="1" applyBorder="1" applyAlignment="1">
      <alignment horizontal="center" vertical="center"/>
    </xf>
    <xf numFmtId="0" fontId="50" fillId="0" borderId="0" xfId="0" applyFont="1" applyAlignment="1">
      <alignment horizontal="center"/>
    </xf>
    <xf numFmtId="0" fontId="99" fillId="0" borderId="0" xfId="0" applyFont="1" applyAlignment="1">
      <alignment horizontal="center"/>
    </xf>
    <xf numFmtId="168" fontId="50" fillId="0" borderId="0" xfId="3" applyNumberFormat="1" applyFont="1" applyFill="1" applyBorder="1" applyAlignment="1">
      <alignment horizontal="center"/>
    </xf>
    <xf numFmtId="0" fontId="50" fillId="0" borderId="6" xfId="0" applyFont="1" applyBorder="1" applyAlignment="1">
      <alignment horizontal="center"/>
    </xf>
    <xf numFmtId="0" fontId="49" fillId="0" borderId="1" xfId="0" applyFont="1" applyBorder="1"/>
    <xf numFmtId="0" fontId="49" fillId="0" borderId="1" xfId="0" applyFont="1" applyBorder="1" applyAlignment="1">
      <alignment horizontal="center"/>
    </xf>
    <xf numFmtId="0" fontId="50" fillId="0" borderId="1" xfId="0" applyFont="1" applyBorder="1" applyAlignment="1">
      <alignment horizontal="center"/>
    </xf>
    <xf numFmtId="0" fontId="99" fillId="0" borderId="1" xfId="0" applyFont="1" applyBorder="1" applyAlignment="1">
      <alignment horizontal="center"/>
    </xf>
    <xf numFmtId="168" fontId="50" fillId="0" borderId="1" xfId="3" applyNumberFormat="1" applyFont="1" applyFill="1" applyBorder="1" applyAlignment="1">
      <alignment horizontal="center"/>
    </xf>
    <xf numFmtId="0" fontId="50" fillId="0" borderId="8" xfId="0" applyFont="1" applyBorder="1" applyAlignment="1">
      <alignment horizontal="center"/>
    </xf>
    <xf numFmtId="0" fontId="46" fillId="0" borderId="2" xfId="0" applyFont="1" applyBorder="1" applyAlignment="1">
      <alignment horizontal="right"/>
    </xf>
    <xf numFmtId="0" fontId="46" fillId="0" borderId="104" xfId="0" applyFont="1" applyBorder="1" applyAlignment="1">
      <alignment horizontal="center"/>
    </xf>
    <xf numFmtId="0" fontId="46" fillId="0" borderId="121" xfId="0" applyFont="1" applyBorder="1" applyAlignment="1">
      <alignment horizontal="center"/>
    </xf>
    <xf numFmtId="0" fontId="46" fillId="0" borderId="3" xfId="0" applyFont="1" applyBorder="1" applyAlignment="1">
      <alignment horizontal="center"/>
    </xf>
    <xf numFmtId="0" fontId="46" fillId="0" borderId="111" xfId="0" applyFont="1" applyBorder="1" applyAlignment="1">
      <alignment horizontal="center"/>
    </xf>
    <xf numFmtId="0" fontId="50" fillId="2" borderId="104" xfId="0" applyFont="1" applyFill="1" applyBorder="1" applyAlignment="1">
      <alignment horizontal="center"/>
    </xf>
    <xf numFmtId="0" fontId="50" fillId="0" borderId="112" xfId="0" applyFont="1" applyBorder="1" applyAlignment="1">
      <alignment horizontal="center"/>
    </xf>
    <xf numFmtId="0" fontId="50" fillId="0" borderId="105" xfId="0" applyFont="1" applyBorder="1" applyAlignment="1">
      <alignment horizontal="center"/>
    </xf>
    <xf numFmtId="168" fontId="50" fillId="0" borderId="3" xfId="3" applyNumberFormat="1" applyFont="1" applyFill="1" applyBorder="1" applyAlignment="1">
      <alignment horizontal="center"/>
    </xf>
    <xf numFmtId="0" fontId="49" fillId="0" borderId="5" xfId="0" applyFont="1" applyBorder="1" applyAlignment="1">
      <alignment horizontal="right"/>
    </xf>
    <xf numFmtId="0" fontId="49" fillId="0" borderId="106" xfId="0" applyFont="1" applyBorder="1" applyAlignment="1">
      <alignment horizontal="center"/>
    </xf>
    <xf numFmtId="0" fontId="49" fillId="0" borderId="85" xfId="0" applyFont="1" applyBorder="1" applyAlignment="1">
      <alignment horizontal="center"/>
    </xf>
    <xf numFmtId="0" fontId="49" fillId="0" borderId="113" xfId="0" applyFont="1" applyBorder="1" applyAlignment="1">
      <alignment horizontal="center"/>
    </xf>
    <xf numFmtId="0" fontId="50" fillId="2" borderId="106" xfId="0" applyFont="1" applyFill="1" applyBorder="1" applyAlignment="1">
      <alignment horizontal="center"/>
    </xf>
    <xf numFmtId="0" fontId="50" fillId="0" borderId="114" xfId="0" applyFont="1" applyBorder="1" applyAlignment="1">
      <alignment horizontal="center"/>
    </xf>
    <xf numFmtId="0" fontId="50" fillId="0" borderId="107" xfId="0" applyFont="1" applyBorder="1" applyAlignment="1">
      <alignment horizontal="center"/>
    </xf>
    <xf numFmtId="0" fontId="44" fillId="48" borderId="19" xfId="0" applyFont="1" applyFill="1" applyBorder="1" applyAlignment="1">
      <alignment horizontal="center" vertical="center"/>
    </xf>
    <xf numFmtId="0" fontId="49" fillId="0" borderId="7" xfId="0" applyFont="1" applyBorder="1" applyAlignment="1">
      <alignment horizontal="right"/>
    </xf>
    <xf numFmtId="0" fontId="49" fillId="0" borderId="116" xfId="0" applyFont="1" applyBorder="1" applyAlignment="1">
      <alignment horizontal="center"/>
    </xf>
    <xf numFmtId="0" fontId="49" fillId="0" borderId="126" xfId="0" applyFont="1" applyBorder="1" applyAlignment="1">
      <alignment horizontal="center"/>
    </xf>
    <xf numFmtId="0" fontId="49" fillId="0" borderId="119" xfId="0" applyFont="1" applyBorder="1" applyAlignment="1">
      <alignment horizontal="center"/>
    </xf>
    <xf numFmtId="0" fontId="50" fillId="2" borderId="1" xfId="0" applyFont="1" applyFill="1" applyBorder="1" applyAlignment="1">
      <alignment horizontal="center"/>
    </xf>
    <xf numFmtId="0" fontId="50" fillId="0" borderId="115" xfId="0" applyFont="1" applyBorder="1" applyAlignment="1">
      <alignment horizontal="center"/>
    </xf>
    <xf numFmtId="0" fontId="50" fillId="0" borderId="117" xfId="0" applyFont="1" applyBorder="1" applyAlignment="1">
      <alignment horizontal="center"/>
    </xf>
    <xf numFmtId="168" fontId="0" fillId="0" borderId="0" xfId="3" applyNumberFormat="1" applyFont="1"/>
    <xf numFmtId="168" fontId="0" fillId="0" borderId="0" xfId="0" applyNumberFormat="1"/>
    <xf numFmtId="0" fontId="71" fillId="0" borderId="0" xfId="0" applyFont="1" applyAlignment="1">
      <alignment horizontal="left" vertical="center"/>
    </xf>
    <xf numFmtId="0" fontId="89" fillId="0" borderId="0" xfId="0" applyFont="1"/>
    <xf numFmtId="0" fontId="2" fillId="49" borderId="0" xfId="1" applyFill="1" applyAlignment="1">
      <alignment horizontal="left"/>
    </xf>
    <xf numFmtId="0" fontId="10" fillId="0" borderId="9" xfId="0" applyFont="1" applyBorder="1"/>
    <xf numFmtId="0" fontId="0" fillId="0" borderId="0" xfId="0" applyAlignment="1">
      <alignment horizontal="center" vertical="center" wrapText="1"/>
    </xf>
    <xf numFmtId="0" fontId="1" fillId="0" borderId="80" xfId="0" applyFont="1" applyBorder="1" applyAlignment="1">
      <alignment horizontal="center"/>
    </xf>
    <xf numFmtId="0" fontId="1" fillId="0" borderId="85" xfId="0" applyFont="1" applyBorder="1" applyAlignment="1">
      <alignment horizontal="center"/>
    </xf>
    <xf numFmtId="167" fontId="0" fillId="0" borderId="0" xfId="0" applyNumberFormat="1" applyAlignment="1">
      <alignment horizontal="center" vertical="center" wrapText="1"/>
    </xf>
    <xf numFmtId="167" fontId="7" fillId="0" borderId="85" xfId="0" applyNumberFormat="1" applyFont="1" applyBorder="1" applyAlignment="1">
      <alignment horizontal="center"/>
    </xf>
    <xf numFmtId="0" fontId="7" fillId="0" borderId="80" xfId="0" applyFont="1" applyBorder="1" applyAlignment="1">
      <alignment horizontal="center"/>
    </xf>
    <xf numFmtId="0" fontId="7" fillId="0" borderId="10" xfId="0" applyFont="1" applyBorder="1" applyAlignment="1">
      <alignment horizontal="center"/>
    </xf>
    <xf numFmtId="167" fontId="7" fillId="0" borderId="80" xfId="0" applyNumberFormat="1" applyFont="1" applyBorder="1" applyAlignment="1">
      <alignment horizontal="center"/>
    </xf>
    <xf numFmtId="167" fontId="7" fillId="0" borderId="10" xfId="0" applyNumberFormat="1" applyFont="1" applyBorder="1" applyAlignment="1">
      <alignment horizontal="center"/>
    </xf>
    <xf numFmtId="0" fontId="100" fillId="0" borderId="0" xfId="0" applyFont="1"/>
    <xf numFmtId="170" fontId="0" fillId="0" borderId="0" xfId="0" applyNumberFormat="1" applyAlignment="1">
      <alignment horizontal="center"/>
    </xf>
    <xf numFmtId="2" fontId="0" fillId="0" borderId="0" xfId="0" applyNumberFormat="1" applyAlignment="1">
      <alignment horizontal="center"/>
    </xf>
    <xf numFmtId="0" fontId="1" fillId="0" borderId="10" xfId="0" applyFont="1" applyBorder="1" applyAlignment="1">
      <alignment horizontal="center"/>
    </xf>
    <xf numFmtId="2" fontId="7" fillId="0" borderId="85" xfId="0" applyNumberFormat="1" applyFont="1" applyBorder="1" applyAlignment="1">
      <alignment horizontal="center"/>
    </xf>
    <xf numFmtId="0" fontId="0" fillId="49" borderId="94" xfId="0" applyFill="1" applyBorder="1" applyAlignment="1">
      <alignment horizontal="left"/>
    </xf>
    <xf numFmtId="0" fontId="7" fillId="64" borderId="91" xfId="0" applyFont="1" applyFill="1" applyBorder="1" applyAlignment="1">
      <alignment horizontal="left"/>
    </xf>
    <xf numFmtId="0" fontId="7" fillId="64" borderId="94" xfId="0" applyFont="1" applyFill="1" applyBorder="1" applyAlignment="1">
      <alignment horizontal="left"/>
    </xf>
    <xf numFmtId="0" fontId="1" fillId="3" borderId="2" xfId="0" applyFont="1" applyFill="1" applyBorder="1" applyAlignment="1">
      <alignment horizontal="center"/>
    </xf>
    <xf numFmtId="0" fontId="1" fillId="3" borderId="4" xfId="0" applyFont="1" applyFill="1" applyBorder="1" applyAlignment="1">
      <alignment horizontal="center"/>
    </xf>
    <xf numFmtId="167" fontId="7" fillId="3" borderId="2" xfId="0" applyNumberFormat="1" applyFont="1" applyFill="1" applyBorder="1" applyAlignment="1">
      <alignment horizontal="center"/>
    </xf>
    <xf numFmtId="167" fontId="7" fillId="68" borderId="3" xfId="0" applyNumberFormat="1" applyFont="1" applyFill="1" applyBorder="1" applyAlignment="1">
      <alignment horizontal="center"/>
    </xf>
    <xf numFmtId="167" fontId="7" fillId="0" borderId="4" xfId="0" applyNumberFormat="1" applyFont="1" applyBorder="1" applyAlignment="1">
      <alignment horizontal="center"/>
    </xf>
    <xf numFmtId="0" fontId="2" fillId="0" borderId="5" xfId="1" applyBorder="1"/>
    <xf numFmtId="0" fontId="2" fillId="0" borderId="6" xfId="1" applyBorder="1"/>
    <xf numFmtId="0" fontId="11" fillId="0" borderId="2" xfId="0" applyFont="1" applyBorder="1"/>
    <xf numFmtId="0" fontId="0" fillId="0" borderId="3" xfId="0" applyBorder="1"/>
    <xf numFmtId="0" fontId="0" fillId="0" borderId="4" xfId="0" applyBorder="1"/>
    <xf numFmtId="167" fontId="7" fillId="3" borderId="5" xfId="0" applyNumberFormat="1" applyFont="1" applyFill="1" applyBorder="1" applyAlignment="1">
      <alignment horizontal="center"/>
    </xf>
    <xf numFmtId="167" fontId="7" fillId="68" borderId="0" xfId="0" applyNumberFormat="1" applyFont="1" applyFill="1" applyAlignment="1">
      <alignment horizontal="center"/>
    </xf>
    <xf numFmtId="167" fontId="7" fillId="0" borderId="6" xfId="0" applyNumberFormat="1" applyFont="1" applyBorder="1" applyAlignment="1">
      <alignment horizontal="center"/>
    </xf>
    <xf numFmtId="167" fontId="7" fillId="3" borderId="7" xfId="0" applyNumberFormat="1" applyFont="1" applyFill="1" applyBorder="1" applyAlignment="1">
      <alignment horizontal="center"/>
    </xf>
    <xf numFmtId="167" fontId="7" fillId="0" borderId="8" xfId="0" applyNumberFormat="1" applyFont="1" applyBorder="1" applyAlignment="1">
      <alignment horizontal="center"/>
    </xf>
    <xf numFmtId="0" fontId="2" fillId="0" borderId="7" xfId="1" applyBorder="1"/>
    <xf numFmtId="0" fontId="2" fillId="0" borderId="8" xfId="1" applyBorder="1"/>
    <xf numFmtId="0" fontId="1" fillId="0" borderId="16" xfId="0" applyFont="1" applyBorder="1" applyAlignment="1">
      <alignment horizontal="left"/>
    </xf>
    <xf numFmtId="0" fontId="0" fillId="3" borderId="17" xfId="0" applyFill="1" applyBorder="1" applyAlignment="1">
      <alignment horizontal="left"/>
    </xf>
    <xf numFmtId="0" fontId="0" fillId="69" borderId="17" xfId="0" applyFill="1" applyBorder="1"/>
    <xf numFmtId="0" fontId="63" fillId="0" borderId="0" xfId="0" applyFont="1" applyAlignment="1">
      <alignment horizontal="left"/>
    </xf>
    <xf numFmtId="0" fontId="5" fillId="0" borderId="0" xfId="85" applyFont="1"/>
    <xf numFmtId="0" fontId="101" fillId="2" borderId="0" xfId="0" applyFont="1" applyFill="1" applyAlignment="1">
      <alignment wrapText="1"/>
    </xf>
    <xf numFmtId="1" fontId="0" fillId="0" borderId="0" xfId="2" applyNumberFormat="1" applyFont="1" applyAlignment="1">
      <alignment horizontal="right"/>
    </xf>
    <xf numFmtId="1" fontId="7" fillId="0" borderId="0" xfId="2" applyNumberFormat="1" applyFont="1"/>
    <xf numFmtId="1" fontId="0" fillId="0" borderId="0" xfId="2" applyNumberFormat="1" applyFont="1"/>
    <xf numFmtId="1" fontId="0" fillId="0" borderId="0" xfId="2" applyNumberFormat="1" applyFont="1" applyFill="1" applyBorder="1" applyAlignment="1">
      <alignment horizontal="right"/>
    </xf>
    <xf numFmtId="1" fontId="6" fillId="0" borderId="0" xfId="2" applyNumberFormat="1" applyFont="1" applyFill="1" applyBorder="1" applyAlignment="1"/>
    <xf numFmtId="1" fontId="6" fillId="0" borderId="0" xfId="0" applyNumberFormat="1" applyFont="1"/>
    <xf numFmtId="1" fontId="6" fillId="0" borderId="0" xfId="0" applyNumberFormat="1" applyFont="1" applyAlignment="1">
      <alignment horizontal="right"/>
    </xf>
    <xf numFmtId="1" fontId="0" fillId="0" borderId="0" xfId="0" applyNumberFormat="1" applyAlignment="1">
      <alignment horizontal="right"/>
    </xf>
    <xf numFmtId="1" fontId="1" fillId="0" borderId="0" xfId="0" applyNumberFormat="1" applyFont="1" applyAlignment="1">
      <alignment horizontal="right" vertical="center"/>
    </xf>
    <xf numFmtId="1" fontId="0" fillId="0" borderId="0" xfId="0" applyNumberFormat="1" applyAlignment="1">
      <alignment vertical="center"/>
    </xf>
    <xf numFmtId="172" fontId="0" fillId="0" borderId="0" xfId="0" applyNumberFormat="1"/>
    <xf numFmtId="0" fontId="86" fillId="0" borderId="0" xfId="0" applyFont="1" applyAlignment="1">
      <alignment vertical="center" wrapText="1"/>
    </xf>
    <xf numFmtId="0" fontId="87" fillId="0" borderId="0" xfId="0" applyFont="1" applyAlignment="1">
      <alignment horizontal="center"/>
    </xf>
    <xf numFmtId="0" fontId="87" fillId="0" borderId="0" xfId="0" applyFont="1"/>
    <xf numFmtId="1" fontId="87" fillId="0" borderId="0" xfId="2" applyNumberFormat="1" applyFont="1" applyFill="1" applyBorder="1" applyAlignment="1">
      <alignment horizontal="center"/>
    </xf>
    <xf numFmtId="9" fontId="87" fillId="0" borderId="0" xfId="3" applyFont="1" applyFill="1" applyBorder="1"/>
    <xf numFmtId="1" fontId="87" fillId="0" borderId="0" xfId="0" applyNumberFormat="1" applyFont="1"/>
    <xf numFmtId="1" fontId="63" fillId="0" borderId="0" xfId="0" applyNumberFormat="1" applyFont="1"/>
    <xf numFmtId="164" fontId="63" fillId="0" borderId="0" xfId="0" applyNumberFormat="1" applyFont="1"/>
    <xf numFmtId="1" fontId="87" fillId="70" borderId="0" xfId="0" applyNumberFormat="1" applyFont="1" applyFill="1"/>
    <xf numFmtId="1" fontId="63" fillId="70" borderId="0" xfId="0" applyNumberFormat="1" applyFont="1" applyFill="1"/>
    <xf numFmtId="164" fontId="63" fillId="70" borderId="0" xfId="0" applyNumberFormat="1" applyFont="1" applyFill="1"/>
    <xf numFmtId="0" fontId="103" fillId="0" borderId="0" xfId="0" applyFont="1" applyAlignment="1">
      <alignment horizontal="center"/>
    </xf>
    <xf numFmtId="166" fontId="1" fillId="0" borderId="0" xfId="2" applyNumberFormat="1" applyFont="1" applyFill="1" applyBorder="1" applyAlignment="1">
      <alignment horizontal="left" vertical="center"/>
    </xf>
    <xf numFmtId="168" fontId="5" fillId="0" borderId="0" xfId="3" applyNumberFormat="1" applyFont="1" applyFill="1" applyBorder="1" applyAlignment="1">
      <alignment vertical="center"/>
    </xf>
    <xf numFmtId="168" fontId="0" fillId="0" borderId="0" xfId="3" applyNumberFormat="1" applyFont="1" applyFill="1" applyBorder="1" applyAlignment="1"/>
    <xf numFmtId="168" fontId="0" fillId="0" borderId="0" xfId="3" applyNumberFormat="1" applyFont="1" applyFill="1" applyAlignment="1"/>
    <xf numFmtId="168" fontId="0" fillId="0" borderId="0" xfId="3" applyNumberFormat="1" applyFont="1" applyFill="1" applyBorder="1" applyAlignment="1">
      <alignment vertical="center"/>
    </xf>
    <xf numFmtId="168" fontId="0" fillId="0" borderId="0" xfId="3" applyNumberFormat="1" applyFont="1" applyAlignment="1">
      <alignment vertical="center"/>
    </xf>
    <xf numFmtId="168" fontId="7" fillId="0" borderId="0" xfId="3" applyNumberFormat="1" applyFont="1" applyFill="1" applyBorder="1" applyAlignment="1"/>
    <xf numFmtId="168" fontId="0" fillId="0" borderId="0" xfId="3" applyNumberFormat="1" applyFont="1" applyAlignment="1"/>
    <xf numFmtId="9" fontId="0" fillId="0" borderId="0" xfId="0" applyNumberFormat="1"/>
    <xf numFmtId="9" fontId="7" fillId="0" borderId="0" xfId="3" applyFont="1" applyFill="1" applyBorder="1"/>
    <xf numFmtId="9" fontId="0" fillId="0" borderId="0" xfId="3" applyFont="1" applyFill="1" applyBorder="1" applyAlignment="1"/>
    <xf numFmtId="9" fontId="0" fillId="0" borderId="0" xfId="3" applyFont="1" applyAlignment="1"/>
    <xf numFmtId="168" fontId="7" fillId="0" borderId="0" xfId="3" applyNumberFormat="1" applyFont="1" applyFill="1" applyBorder="1"/>
    <xf numFmtId="168" fontId="0" fillId="0" borderId="0" xfId="3" applyNumberFormat="1" applyFont="1" applyFill="1" applyBorder="1"/>
    <xf numFmtId="9" fontId="0" fillId="0" borderId="0" xfId="3" applyFont="1"/>
    <xf numFmtId="168" fontId="0" fillId="0" borderId="0" xfId="3" applyNumberFormat="1" applyFont="1" applyFill="1" applyBorder="1" applyAlignment="1">
      <alignment horizontal="center"/>
    </xf>
    <xf numFmtId="0" fontId="87" fillId="71" borderId="0" xfId="0" applyFont="1" applyFill="1"/>
    <xf numFmtId="0" fontId="87" fillId="71" borderId="0" xfId="0" applyFont="1" applyFill="1" applyAlignment="1">
      <alignment horizontal="left"/>
    </xf>
    <xf numFmtId="0" fontId="104" fillId="71" borderId="0" xfId="0" applyFont="1" applyFill="1"/>
    <xf numFmtId="0" fontId="63" fillId="71" borderId="0" xfId="0" applyFont="1" applyFill="1"/>
    <xf numFmtId="0" fontId="0" fillId="68" borderId="0" xfId="0" applyFill="1"/>
    <xf numFmtId="0" fontId="0" fillId="68" borderId="0" xfId="0" applyFill="1" applyAlignment="1">
      <alignment horizontal="center"/>
    </xf>
    <xf numFmtId="0" fontId="0" fillId="0" borderId="29" xfId="0" applyBorder="1"/>
    <xf numFmtId="0" fontId="10" fillId="0" borderId="29" xfId="0" applyFont="1" applyBorder="1"/>
    <xf numFmtId="0" fontId="105" fillId="0" borderId="29" xfId="0" applyFont="1" applyBorder="1" applyAlignment="1">
      <alignment wrapText="1"/>
    </xf>
    <xf numFmtId="0" fontId="0" fillId="0" borderId="29" xfId="0" applyBorder="1" applyAlignment="1">
      <alignment wrapText="1"/>
    </xf>
    <xf numFmtId="0" fontId="105" fillId="0" borderId="0" xfId="0" applyFont="1"/>
    <xf numFmtId="0" fontId="107" fillId="0" borderId="0" xfId="0" applyFont="1" applyAlignment="1">
      <alignment horizontal="left" vertical="center" indent="5" readingOrder="1"/>
    </xf>
    <xf numFmtId="0" fontId="6" fillId="0" borderId="0" xfId="0" applyFont="1" applyAlignment="1">
      <alignment horizontal="right"/>
    </xf>
    <xf numFmtId="1" fontId="5" fillId="0" borderId="29" xfId="0" applyNumberFormat="1" applyFont="1" applyBorder="1" applyAlignment="1">
      <alignment horizontal="center" vertical="center"/>
    </xf>
    <xf numFmtId="2" fontId="0" fillId="0" borderId="29" xfId="0" applyNumberFormat="1" applyBorder="1"/>
    <xf numFmtId="9" fontId="0" fillId="0" borderId="29" xfId="0" applyNumberFormat="1" applyBorder="1"/>
    <xf numFmtId="0" fontId="0" fillId="68" borderId="0" xfId="0" applyFill="1" applyAlignment="1">
      <alignment horizontal="right"/>
    </xf>
    <xf numFmtId="0" fontId="0" fillId="0" borderId="29" xfId="0" applyBorder="1" applyAlignment="1">
      <alignment horizontal="right"/>
    </xf>
    <xf numFmtId="0" fontId="26" fillId="0" borderId="0" xfId="0" applyFont="1" applyAlignment="1">
      <alignment horizontal="center" wrapText="1"/>
    </xf>
    <xf numFmtId="0" fontId="0" fillId="0" borderId="0" xfId="0" applyAlignment="1">
      <alignment vertical="center" wrapText="1"/>
    </xf>
    <xf numFmtId="0" fontId="1" fillId="0" borderId="29" xfId="0" applyFont="1" applyBorder="1"/>
    <xf numFmtId="9" fontId="5" fillId="0" borderId="29" xfId="91" applyNumberFormat="1" applyBorder="1"/>
    <xf numFmtId="9" fontId="5" fillId="0" borderId="29" xfId="3" applyBorder="1"/>
    <xf numFmtId="9" fontId="0" fillId="0" borderId="29" xfId="3" applyFont="1" applyBorder="1"/>
    <xf numFmtId="9" fontId="0" fillId="0" borderId="29" xfId="3" applyFont="1" applyFill="1" applyBorder="1"/>
    <xf numFmtId="9" fontId="5" fillId="0" borderId="0" xfId="91" applyNumberFormat="1"/>
    <xf numFmtId="2" fontId="108" fillId="0" borderId="0" xfId="0" applyNumberFormat="1" applyFont="1" applyAlignment="1">
      <alignment horizontal="center"/>
    </xf>
    <xf numFmtId="1" fontId="7" fillId="61" borderId="0" xfId="0" applyNumberFormat="1" applyFont="1" applyFill="1"/>
    <xf numFmtId="0" fontId="63" fillId="61" borderId="0" xfId="0" applyFont="1" applyFill="1"/>
    <xf numFmtId="0" fontId="0" fillId="61" borderId="0" xfId="0" applyFill="1"/>
    <xf numFmtId="1" fontId="7" fillId="70" borderId="0" xfId="0" applyNumberFormat="1" applyFont="1" applyFill="1"/>
    <xf numFmtId="0" fontId="63" fillId="70" borderId="0" xfId="0" applyFont="1" applyFill="1"/>
    <xf numFmtId="0" fontId="0" fillId="70" borderId="0" xfId="0" applyFill="1"/>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9" fontId="49" fillId="0" borderId="3" xfId="3" applyFont="1" applyFill="1" applyBorder="1" applyAlignment="1">
      <alignment horizontal="center" vertical="center"/>
    </xf>
    <xf numFmtId="9" fontId="49" fillId="0" borderId="0" xfId="3" applyFont="1" applyFill="1" applyBorder="1" applyAlignment="1">
      <alignment horizontal="center" vertical="center"/>
    </xf>
    <xf numFmtId="9" fontId="0" fillId="0" borderId="0" xfId="3" applyFont="1" applyBorder="1" applyAlignment="1">
      <alignment horizontal="center" vertical="center"/>
    </xf>
    <xf numFmtId="9" fontId="49" fillId="0" borderId="1" xfId="3" applyFont="1" applyFill="1" applyBorder="1" applyAlignment="1">
      <alignment horizontal="center" vertical="center"/>
    </xf>
    <xf numFmtId="167" fontId="7" fillId="72" borderId="3" xfId="0" applyNumberFormat="1" applyFont="1" applyFill="1" applyBorder="1" applyAlignment="1">
      <alignment horizontal="center"/>
    </xf>
    <xf numFmtId="167" fontId="7" fillId="72" borderId="0" xfId="0" applyNumberFormat="1" applyFont="1" applyFill="1" applyAlignment="1">
      <alignment horizontal="center"/>
    </xf>
    <xf numFmtId="167" fontId="7" fillId="72" borderId="1" xfId="0" applyNumberFormat="1" applyFont="1" applyFill="1" applyBorder="1" applyAlignment="1">
      <alignment horizontal="center"/>
    </xf>
    <xf numFmtId="0" fontId="0" fillId="72" borderId="17" xfId="0" applyFill="1" applyBorder="1"/>
    <xf numFmtId="0" fontId="76"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77" fillId="55" borderId="0" xfId="0" applyFont="1" applyFill="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5" fillId="47" borderId="3" xfId="0" applyFont="1" applyFill="1" applyBorder="1" applyAlignment="1">
      <alignment vertical="center"/>
    </xf>
    <xf numFmtId="0" fontId="75" fillId="47" borderId="4" xfId="0" applyFont="1" applyFill="1" applyBorder="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6" fillId="0" borderId="16" xfId="0" applyFont="1" applyBorder="1" applyAlignment="1">
      <alignment vertical="center"/>
    </xf>
    <xf numFmtId="0" fontId="75" fillId="47" borderId="2" xfId="0" applyFont="1" applyFill="1" applyBorder="1" applyAlignment="1">
      <alignment vertical="center"/>
    </xf>
    <xf numFmtId="0" fontId="75" fillId="47" borderId="5" xfId="0" applyFont="1" applyFill="1" applyBorder="1" applyAlignment="1">
      <alignment vertical="center"/>
    </xf>
    <xf numFmtId="0" fontId="75" fillId="0" borderId="0" xfId="0" applyFont="1"/>
    <xf numFmtId="0" fontId="75" fillId="0" borderId="17" xfId="0" applyFont="1" applyBorder="1" applyAlignment="1">
      <alignment vertical="center"/>
    </xf>
    <xf numFmtId="0" fontId="75" fillId="47" borderId="0" xfId="0" applyFont="1" applyFill="1" applyAlignment="1">
      <alignment vertical="center"/>
    </xf>
    <xf numFmtId="9" fontId="75" fillId="0" borderId="6" xfId="0" applyNumberFormat="1" applyFont="1" applyBorder="1" applyAlignment="1">
      <alignment horizontal="center" vertical="center"/>
    </xf>
    <xf numFmtId="9" fontId="10" fillId="0" borderId="3" xfId="0" applyNumberFormat="1" applyFont="1" applyBorder="1" applyAlignment="1">
      <alignment horizontal="center" vertical="center" wrapText="1"/>
    </xf>
    <xf numFmtId="9" fontId="10" fillId="0" borderId="6" xfId="0" applyNumberFormat="1" applyFont="1" applyBorder="1" applyAlignment="1">
      <alignment horizontal="center" vertical="center" wrapText="1"/>
    </xf>
    <xf numFmtId="0" fontId="10" fillId="0" borderId="0" xfId="0" applyFont="1" applyAlignment="1">
      <alignment horizontal="center" vertical="center" wrapText="1"/>
    </xf>
    <xf numFmtId="9" fontId="10" fillId="0" borderId="0" xfId="0" applyNumberFormat="1" applyFont="1" applyAlignment="1">
      <alignment horizontal="center" vertical="center" wrapText="1"/>
    </xf>
    <xf numFmtId="0" fontId="75" fillId="0" borderId="17" xfId="0" applyFont="1" applyBorder="1" applyAlignment="1">
      <alignment vertical="center" wrapText="1"/>
    </xf>
    <xf numFmtId="0" fontId="76" fillId="0" borderId="7" xfId="0"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5" fillId="0" borderId="0" xfId="0" applyFont="1" applyAlignment="1">
      <alignment horizontal="left"/>
    </xf>
    <xf numFmtId="0" fontId="75" fillId="0" borderId="18" xfId="0" applyFont="1" applyBorder="1" applyAlignment="1">
      <alignment vertical="center" wrapText="1"/>
    </xf>
    <xf numFmtId="168" fontId="0" fillId="0" borderId="0" xfId="3" applyNumberFormat="1" applyFont="1" applyFill="1"/>
    <xf numFmtId="168" fontId="7" fillId="0" borderId="0" xfId="3" applyNumberFormat="1" applyFont="1" applyFill="1"/>
    <xf numFmtId="9" fontId="7" fillId="0" borderId="0" xfId="3" applyFont="1" applyFill="1" applyBorder="1" applyAlignment="1">
      <alignment horizontal="left"/>
    </xf>
    <xf numFmtId="0" fontId="75" fillId="74" borderId="13" xfId="0" applyFont="1" applyFill="1" applyBorder="1" applyAlignment="1">
      <alignment vertical="center"/>
    </xf>
    <xf numFmtId="0" fontId="75" fillId="74" borderId="14" xfId="0" applyFont="1" applyFill="1" applyBorder="1" applyAlignment="1">
      <alignment vertical="center"/>
    </xf>
    <xf numFmtId="0" fontId="7" fillId="75" borderId="13" xfId="0" applyFont="1" applyFill="1" applyBorder="1" applyAlignment="1">
      <alignment vertical="center"/>
    </xf>
    <xf numFmtId="0" fontId="7" fillId="75" borderId="14" xfId="0" applyFont="1" applyFill="1" applyBorder="1" applyAlignment="1">
      <alignment vertical="center"/>
    </xf>
    <xf numFmtId="0" fontId="7" fillId="75" borderId="12" xfId="0" applyFont="1" applyFill="1" applyBorder="1" applyAlignment="1">
      <alignment vertical="center"/>
    </xf>
    <xf numFmtId="0" fontId="75" fillId="74" borderId="19" xfId="0" applyFont="1" applyFill="1" applyBorder="1" applyAlignment="1">
      <alignment vertical="center" wrapText="1"/>
    </xf>
    <xf numFmtId="0" fontId="7" fillId="73" borderId="0" xfId="0" applyFont="1" applyFill="1" applyAlignment="1">
      <alignment vertical="center"/>
    </xf>
    <xf numFmtId="0" fontId="7" fillId="73" borderId="6" xfId="0" applyFont="1" applyFill="1" applyBorder="1" applyAlignment="1">
      <alignment vertical="center"/>
    </xf>
    <xf numFmtId="0" fontId="7" fillId="73" borderId="5" xfId="0" applyFont="1" applyFill="1" applyBorder="1" applyAlignment="1">
      <alignment vertical="center"/>
    </xf>
    <xf numFmtId="0" fontId="7" fillId="76" borderId="5" xfId="0" applyFont="1" applyFill="1" applyBorder="1" applyAlignment="1">
      <alignment vertical="center"/>
    </xf>
    <xf numFmtId="0" fontId="7" fillId="76" borderId="0" xfId="0" applyFont="1" applyFill="1" applyAlignment="1">
      <alignment vertical="center"/>
    </xf>
    <xf numFmtId="0" fontId="7" fillId="76" borderId="6" xfId="0" applyFont="1" applyFill="1" applyBorder="1" applyAlignment="1">
      <alignment vertical="center"/>
    </xf>
    <xf numFmtId="0" fontId="7" fillId="73" borderId="1" xfId="0" applyFont="1" applyFill="1" applyBorder="1" applyAlignment="1">
      <alignment vertical="center"/>
    </xf>
    <xf numFmtId="0" fontId="7" fillId="73" borderId="8" xfId="0" applyFont="1" applyFill="1" applyBorder="1" applyAlignment="1">
      <alignment vertical="center"/>
    </xf>
    <xf numFmtId="0" fontId="7" fillId="76" borderId="7" xfId="0" applyFont="1" applyFill="1" applyBorder="1" applyAlignment="1">
      <alignment vertical="center"/>
    </xf>
    <xf numFmtId="0" fontId="7" fillId="74" borderId="6" xfId="0" applyFont="1" applyFill="1" applyBorder="1" applyAlignment="1">
      <alignment vertical="center"/>
    </xf>
    <xf numFmtId="0" fontId="7" fillId="75" borderId="2" xfId="0" applyFont="1" applyFill="1" applyBorder="1" applyAlignment="1">
      <alignment vertical="center"/>
    </xf>
    <xf numFmtId="0" fontId="7" fillId="75" borderId="3" xfId="0" applyFont="1" applyFill="1" applyBorder="1" applyAlignment="1">
      <alignment vertical="center"/>
    </xf>
    <xf numFmtId="0" fontId="7" fillId="75" borderId="4" xfId="0" applyFont="1" applyFill="1" applyBorder="1" applyAlignment="1">
      <alignment vertical="center"/>
    </xf>
    <xf numFmtId="0" fontId="7" fillId="74" borderId="4" xfId="0" applyFont="1" applyFill="1" applyBorder="1" applyAlignment="1">
      <alignment vertical="center"/>
    </xf>
    <xf numFmtId="0" fontId="7" fillId="75" borderId="5" xfId="0" applyFont="1" applyFill="1" applyBorder="1" applyAlignment="1">
      <alignment horizontal="center" vertical="center"/>
    </xf>
    <xf numFmtId="0" fontId="7" fillId="75" borderId="0" xfId="0" applyFont="1" applyFill="1" applyAlignment="1">
      <alignment horizontal="center" vertical="center"/>
    </xf>
    <xf numFmtId="0" fontId="7" fillId="75" borderId="6" xfId="0" applyFont="1" applyFill="1" applyBorder="1" applyAlignment="1">
      <alignment horizontal="center" vertical="center"/>
    </xf>
    <xf numFmtId="0" fontId="7" fillId="75" borderId="12" xfId="0" applyFont="1" applyFill="1" applyBorder="1" applyAlignment="1">
      <alignment horizontal="center" vertical="center"/>
    </xf>
    <xf numFmtId="0" fontId="7" fillId="75" borderId="13" xfId="0" applyFont="1" applyFill="1" applyBorder="1" applyAlignment="1">
      <alignment horizontal="center" vertical="center"/>
    </xf>
    <xf numFmtId="0" fontId="7" fillId="75" borderId="14" xfId="0" applyFont="1" applyFill="1" applyBorder="1" applyAlignment="1">
      <alignment horizontal="center" vertical="center"/>
    </xf>
    <xf numFmtId="0" fontId="7" fillId="75" borderId="33" xfId="0" applyFont="1" applyFill="1" applyBorder="1" applyAlignment="1">
      <alignment vertical="center"/>
    </xf>
    <xf numFmtId="0" fontId="75" fillId="0" borderId="18" xfId="0" applyFont="1" applyBorder="1" applyAlignment="1">
      <alignment vertical="center"/>
    </xf>
    <xf numFmtId="0" fontId="76" fillId="75" borderId="0" xfId="0" applyFont="1" applyFill="1" applyAlignment="1">
      <alignment horizontal="center" vertical="center" wrapText="1"/>
    </xf>
    <xf numFmtId="0" fontId="10" fillId="75" borderId="0" xfId="0" applyFont="1" applyFill="1" applyAlignment="1">
      <alignment horizontal="center" vertical="center" wrapText="1"/>
    </xf>
    <xf numFmtId="9" fontId="10" fillId="75" borderId="0" xfId="0" applyNumberFormat="1" applyFont="1" applyFill="1" applyAlignment="1">
      <alignment horizontal="center" vertical="center" wrapText="1"/>
    </xf>
    <xf numFmtId="0" fontId="7" fillId="75" borderId="5" xfId="0" applyFont="1" applyFill="1" applyBorder="1" applyAlignment="1">
      <alignment horizontal="center" vertical="center" wrapText="1"/>
    </xf>
    <xf numFmtId="0" fontId="7" fillId="75" borderId="0" xfId="0" applyFont="1" applyFill="1" applyAlignment="1">
      <alignment horizontal="center" vertical="center" wrapText="1"/>
    </xf>
    <xf numFmtId="0" fontId="7" fillId="75" borderId="6" xfId="0" applyFont="1" applyFill="1" applyBorder="1" applyAlignment="1">
      <alignment horizontal="center" vertical="center" wrapText="1"/>
    </xf>
    <xf numFmtId="0" fontId="7" fillId="75" borderId="0" xfId="0" applyFont="1" applyFill="1" applyAlignment="1">
      <alignment vertical="center"/>
    </xf>
    <xf numFmtId="0" fontId="75" fillId="75" borderId="17" xfId="0" applyFont="1" applyFill="1" applyBorder="1" applyAlignment="1">
      <alignment vertical="center" wrapText="1"/>
    </xf>
    <xf numFmtId="0" fontId="76" fillId="0" borderId="3" xfId="0" applyFont="1" applyBorder="1" applyAlignment="1">
      <alignment horizontal="center" vertical="center" wrapText="1"/>
    </xf>
    <xf numFmtId="0" fontId="7" fillId="76" borderId="1" xfId="0" applyFont="1" applyFill="1" applyBorder="1" applyAlignment="1">
      <alignment horizontal="center" vertical="center"/>
    </xf>
    <xf numFmtId="0" fontId="76" fillId="0" borderId="5" xfId="0" applyFont="1" applyBorder="1" applyAlignment="1">
      <alignment vertical="center"/>
    </xf>
    <xf numFmtId="0" fontId="76" fillId="75" borderId="7" xfId="0" applyFont="1" applyFill="1" applyBorder="1" applyAlignment="1">
      <alignment horizontal="center" vertical="center" wrapText="1"/>
    </xf>
    <xf numFmtId="0" fontId="10" fillId="75" borderId="1" xfId="0" applyFont="1" applyFill="1" applyBorder="1" applyAlignment="1">
      <alignment horizontal="center" vertical="center" wrapText="1"/>
    </xf>
    <xf numFmtId="0" fontId="7" fillId="75" borderId="7" xfId="0" applyFont="1" applyFill="1" applyBorder="1" applyAlignment="1">
      <alignment horizontal="center" vertical="center" wrapText="1"/>
    </xf>
    <xf numFmtId="0" fontId="7" fillId="75" borderId="1" xfId="0" applyFont="1" applyFill="1" applyBorder="1" applyAlignment="1">
      <alignment horizontal="center" vertical="center" wrapText="1"/>
    </xf>
    <xf numFmtId="0" fontId="7" fillId="75" borderId="8" xfId="0" applyFont="1" applyFill="1" applyBorder="1" applyAlignment="1">
      <alignment horizontal="center" vertical="center" wrapText="1"/>
    </xf>
    <xf numFmtId="0" fontId="7" fillId="75" borderId="1" xfId="0" applyFont="1" applyFill="1" applyBorder="1" applyAlignment="1">
      <alignment horizontal="center" vertical="center"/>
    </xf>
    <xf numFmtId="0" fontId="75" fillId="75" borderId="18" xfId="0" applyFont="1" applyFill="1" applyBorder="1" applyAlignment="1">
      <alignment vertical="center" wrapText="1"/>
    </xf>
    <xf numFmtId="0" fontId="7" fillId="75" borderId="2" xfId="0" applyFont="1" applyFill="1" applyBorder="1" applyAlignment="1">
      <alignment horizontal="center" vertical="center"/>
    </xf>
    <xf numFmtId="0" fontId="7" fillId="75" borderId="3" xfId="0" applyFont="1" applyFill="1" applyBorder="1" applyAlignment="1">
      <alignment horizontal="center" vertical="center"/>
    </xf>
    <xf numFmtId="0" fontId="7" fillId="75" borderId="4" xfId="0" applyFont="1" applyFill="1" applyBorder="1" applyAlignment="1">
      <alignment horizontal="center" vertical="center"/>
    </xf>
    <xf numFmtId="0" fontId="7" fillId="75" borderId="19" xfId="0" applyFont="1" applyFill="1" applyBorder="1" applyAlignment="1">
      <alignment horizontal="center" vertical="center"/>
    </xf>
    <xf numFmtId="0" fontId="7" fillId="76" borderId="12" xfId="0" applyFont="1" applyFill="1" applyBorder="1" applyAlignment="1">
      <alignment horizontal="center" vertical="center"/>
    </xf>
    <xf numFmtId="0" fontId="7" fillId="76" borderId="13" xfId="0" applyFont="1" applyFill="1" applyBorder="1" applyAlignment="1">
      <alignment horizontal="center" vertical="center"/>
    </xf>
    <xf numFmtId="0" fontId="7" fillId="76" borderId="14" xfId="0" applyFont="1" applyFill="1" applyBorder="1" applyAlignment="1">
      <alignment horizontal="center" vertical="center"/>
    </xf>
    <xf numFmtId="0" fontId="75" fillId="74" borderId="2" xfId="0" applyFont="1" applyFill="1" applyBorder="1" applyAlignment="1">
      <alignment vertical="center" wrapText="1"/>
    </xf>
    <xf numFmtId="0" fontId="7" fillId="76" borderId="5" xfId="0" applyFont="1" applyFill="1" applyBorder="1" applyAlignment="1">
      <alignment horizontal="center" vertical="center"/>
    </xf>
    <xf numFmtId="0" fontId="7" fillId="76" borderId="0" xfId="0" applyFont="1" applyFill="1" applyAlignment="1">
      <alignment horizontal="center" vertical="center"/>
    </xf>
    <xf numFmtId="0" fontId="7" fillId="76" borderId="18" xfId="0" applyFont="1" applyFill="1" applyBorder="1" applyAlignment="1">
      <alignment horizontal="center" vertical="center"/>
    </xf>
    <xf numFmtId="0" fontId="7" fillId="0" borderId="19" xfId="0" applyFont="1" applyBorder="1" applyAlignment="1">
      <alignment horizontal="left" vertical="center" wrapText="1"/>
    </xf>
    <xf numFmtId="0" fontId="7" fillId="76" borderId="19" xfId="0" applyFont="1" applyFill="1" applyBorder="1" applyAlignment="1">
      <alignment horizontal="center" vertical="center"/>
    </xf>
    <xf numFmtId="0" fontId="2" fillId="0" borderId="36" xfId="1" applyBorder="1"/>
    <xf numFmtId="0" fontId="1" fillId="2" borderId="0" xfId="0" applyFont="1" applyFill="1" applyAlignment="1">
      <alignment horizontal="center" vertical="top" wrapText="1"/>
    </xf>
    <xf numFmtId="0" fontId="1" fillId="2" borderId="0" xfId="0" applyFont="1" applyFill="1"/>
    <xf numFmtId="0" fontId="1" fillId="2" borderId="0" xfId="0" applyFont="1" applyFill="1" applyAlignment="1">
      <alignment vertical="center"/>
    </xf>
    <xf numFmtId="166" fontId="0" fillId="2" borderId="0" xfId="2" applyNumberFormat="1" applyFont="1" applyFill="1" applyBorder="1" applyAlignment="1">
      <alignment horizontal="center" vertical="center"/>
    </xf>
    <xf numFmtId="0" fontId="0" fillId="2" borderId="0" xfId="0" applyFill="1" applyAlignment="1">
      <alignment horizontal="center" vertical="center"/>
    </xf>
    <xf numFmtId="166" fontId="109" fillId="2" borderId="0" xfId="2" applyNumberFormat="1" applyFont="1" applyFill="1" applyBorder="1" applyAlignment="1">
      <alignment horizontal="center" vertical="center"/>
    </xf>
    <xf numFmtId="0" fontId="26" fillId="2" borderId="0" xfId="0" applyFont="1" applyFill="1"/>
    <xf numFmtId="0" fontId="26" fillId="2" borderId="0" xfId="0" quotePrefix="1" applyFont="1" applyFill="1"/>
    <xf numFmtId="0" fontId="2" fillId="2" borderId="0" xfId="1" applyFill="1" applyBorder="1"/>
    <xf numFmtId="0" fontId="2" fillId="2" borderId="0" xfId="1" applyFill="1" applyBorder="1" applyAlignment="1">
      <alignment horizontal="left" vertical="center"/>
    </xf>
    <xf numFmtId="167" fontId="1" fillId="2" borderId="0" xfId="0" applyNumberFormat="1" applyFont="1" applyFill="1"/>
    <xf numFmtId="0" fontId="7" fillId="2" borderId="0" xfId="0" applyFont="1" applyFill="1" applyAlignment="1">
      <alignment horizontal="right"/>
    </xf>
    <xf numFmtId="0" fontId="10" fillId="2" borderId="0" xfId="0" applyFont="1" applyFill="1" applyAlignment="1">
      <alignment horizontal="right"/>
    </xf>
    <xf numFmtId="1" fontId="0" fillId="2" borderId="0" xfId="0" applyNumberFormat="1" applyFill="1"/>
    <xf numFmtId="0" fontId="74" fillId="2" borderId="0" xfId="0" applyFont="1" applyFill="1" applyAlignment="1">
      <alignment vertical="center" wrapText="1"/>
    </xf>
    <xf numFmtId="0" fontId="1" fillId="2" borderId="0" xfId="0" applyFont="1" applyFill="1" applyAlignment="1">
      <alignment horizontal="center"/>
    </xf>
    <xf numFmtId="0" fontId="54" fillId="2" borderId="0" xfId="0" applyFont="1" applyFill="1" applyAlignment="1">
      <alignment vertical="center" wrapText="1"/>
    </xf>
    <xf numFmtId="0" fontId="54" fillId="2" borderId="0" xfId="0" applyFont="1" applyFill="1" applyAlignment="1">
      <alignment vertical="center"/>
    </xf>
    <xf numFmtId="0" fontId="1" fillId="3" borderId="133" xfId="0" applyFont="1" applyFill="1" applyBorder="1" applyAlignment="1">
      <alignment horizontal="left"/>
    </xf>
    <xf numFmtId="0" fontId="1" fillId="3" borderId="134" xfId="0" applyFont="1" applyFill="1" applyBorder="1" applyAlignment="1">
      <alignment horizontal="center"/>
    </xf>
    <xf numFmtId="0" fontId="1" fillId="3" borderId="135" xfId="0" applyFont="1" applyFill="1" applyBorder="1" applyAlignment="1">
      <alignment horizontal="center"/>
    </xf>
    <xf numFmtId="0" fontId="1" fillId="0" borderId="136" xfId="0" applyFont="1" applyBorder="1" applyAlignment="1">
      <alignment horizontal="left" vertical="center"/>
    </xf>
    <xf numFmtId="0" fontId="54" fillId="0" borderId="137" xfId="0" applyFont="1" applyBorder="1" applyAlignment="1">
      <alignment vertical="center" wrapText="1"/>
    </xf>
    <xf numFmtId="0" fontId="1" fillId="0" borderId="138" xfId="0" applyFont="1" applyBorder="1" applyAlignment="1">
      <alignment horizontal="left" vertical="center"/>
    </xf>
    <xf numFmtId="0" fontId="54" fillId="0" borderId="139" xfId="0" applyFont="1" applyBorder="1" applyAlignment="1">
      <alignment vertical="center" wrapText="1"/>
    </xf>
    <xf numFmtId="0" fontId="1" fillId="0" borderId="80" xfId="0" applyFont="1" applyBorder="1" applyAlignment="1">
      <alignment horizontal="left" vertical="center"/>
    </xf>
    <xf numFmtId="0" fontId="74" fillId="0" borderId="140" xfId="0" applyFont="1" applyBorder="1" applyAlignment="1">
      <alignment vertical="center" wrapText="1"/>
    </xf>
    <xf numFmtId="0" fontId="74" fillId="0" borderId="76" xfId="0" applyFont="1" applyBorder="1" applyAlignment="1">
      <alignment vertical="center" wrapText="1"/>
    </xf>
    <xf numFmtId="0" fontId="74" fillId="0" borderId="141" xfId="0" applyFont="1" applyBorder="1" applyAlignment="1">
      <alignment vertical="center" wrapText="1"/>
    </xf>
    <xf numFmtId="0" fontId="54" fillId="0" borderId="142" xfId="0" applyFont="1" applyBorder="1" applyAlignment="1">
      <alignment vertical="center" wrapText="1"/>
    </xf>
    <xf numFmtId="0" fontId="74" fillId="0" borderId="145" xfId="0" applyFont="1" applyBorder="1" applyAlignment="1">
      <alignment vertical="center" wrapText="1"/>
    </xf>
    <xf numFmtId="0" fontId="0" fillId="2" borderId="0" xfId="0" applyFill="1" applyAlignment="1">
      <alignment wrapText="1"/>
    </xf>
    <xf numFmtId="0" fontId="26" fillId="0" borderId="0" xfId="0" applyFont="1" applyAlignment="1">
      <alignment horizontal="right"/>
    </xf>
    <xf numFmtId="0" fontId="110" fillId="61" borderId="0" xfId="0" applyFont="1" applyFill="1"/>
    <xf numFmtId="0" fontId="28" fillId="61" borderId="0" xfId="0" applyFont="1" applyFill="1"/>
    <xf numFmtId="0" fontId="110" fillId="0" borderId="0" xfId="0" applyFont="1"/>
    <xf numFmtId="0" fontId="28" fillId="0" borderId="0" xfId="0" applyFont="1"/>
    <xf numFmtId="0" fontId="0" fillId="2" borderId="29" xfId="0" applyFill="1" applyBorder="1" applyAlignment="1">
      <alignment wrapText="1"/>
    </xf>
    <xf numFmtId="0" fontId="0" fillId="2" borderId="86" xfId="0" applyFill="1" applyBorder="1" applyAlignment="1">
      <alignment wrapText="1"/>
    </xf>
    <xf numFmtId="0" fontId="0" fillId="3" borderId="37" xfId="0" applyFill="1" applyBorder="1" applyAlignment="1">
      <alignment horizontal="center" vertical="center"/>
    </xf>
    <xf numFmtId="0" fontId="0" fillId="3" borderId="81" xfId="0" applyFill="1" applyBorder="1" applyAlignment="1">
      <alignment horizontal="center" vertical="center" wrapText="1"/>
    </xf>
    <xf numFmtId="0" fontId="0" fillId="2" borderId="0" xfId="0" applyFill="1" applyAlignment="1">
      <alignment horizontal="center"/>
    </xf>
    <xf numFmtId="0" fontId="0" fillId="2" borderId="29" xfId="0" applyFill="1" applyBorder="1"/>
    <xf numFmtId="0" fontId="0" fillId="2" borderId="29" xfId="0" applyFill="1" applyBorder="1" applyAlignment="1">
      <alignment horizontal="center"/>
    </xf>
    <xf numFmtId="0" fontId="10" fillId="0" borderId="0" xfId="0" applyFont="1" applyAlignment="1">
      <alignment horizontal="center" vertical="center"/>
    </xf>
    <xf numFmtId="0" fontId="85" fillId="69" borderId="0" xfId="0" applyFont="1" applyFill="1"/>
    <xf numFmtId="0" fontId="7" fillId="69" borderId="0" xfId="0" applyFont="1" applyFill="1"/>
    <xf numFmtId="0" fontId="85" fillId="0" borderId="0" xfId="0" applyFont="1"/>
    <xf numFmtId="0" fontId="0" fillId="0" borderId="40" xfId="0" applyBorder="1" applyAlignment="1">
      <alignment wrapText="1"/>
    </xf>
    <xf numFmtId="0" fontId="7" fillId="0" borderId="8" xfId="0" applyFont="1" applyBorder="1" applyAlignment="1">
      <alignment horizontal="center" vertical="center"/>
    </xf>
    <xf numFmtId="1" fontId="10" fillId="0" borderId="19" xfId="0" applyNumberFormat="1" applyFont="1" applyBorder="1" applyAlignment="1">
      <alignment horizontal="center"/>
    </xf>
    <xf numFmtId="1" fontId="7" fillId="0" borderId="16" xfId="0" applyNumberFormat="1" applyFont="1" applyBorder="1" applyAlignment="1">
      <alignment horizontal="center"/>
    </xf>
    <xf numFmtId="1" fontId="7" fillId="0" borderId="17" xfId="0" applyNumberFormat="1" applyFont="1" applyBorder="1" applyAlignment="1">
      <alignment horizontal="center"/>
    </xf>
    <xf numFmtId="1" fontId="7" fillId="0" borderId="18" xfId="0" applyNumberFormat="1" applyFont="1" applyBorder="1" applyAlignment="1">
      <alignment horizontal="center"/>
    </xf>
    <xf numFmtId="0" fontId="1" fillId="3" borderId="50" xfId="0" applyFont="1" applyFill="1" applyBorder="1" applyAlignment="1">
      <alignment wrapText="1"/>
    </xf>
    <xf numFmtId="1" fontId="1" fillId="3" borderId="14" xfId="2" applyNumberFormat="1" applyFont="1" applyFill="1" applyBorder="1" applyAlignment="1">
      <alignment horizontal="center" vertical="center"/>
    </xf>
    <xf numFmtId="0" fontId="1" fillId="3" borderId="50" xfId="0" applyFont="1" applyFill="1" applyBorder="1"/>
    <xf numFmtId="0" fontId="10" fillId="3" borderId="12" xfId="0" applyFont="1" applyFill="1" applyBorder="1" applyAlignment="1">
      <alignment horizontal="left" vertical="center"/>
    </xf>
    <xf numFmtId="0" fontId="10" fillId="3" borderId="14" xfId="0" applyFont="1" applyFill="1" applyBorder="1" applyAlignment="1">
      <alignment horizontal="left" vertical="center"/>
    </xf>
    <xf numFmtId="1" fontId="10" fillId="3" borderId="19" xfId="0" applyNumberFormat="1" applyFont="1" applyFill="1" applyBorder="1" applyAlignment="1">
      <alignment horizontal="center"/>
    </xf>
    <xf numFmtId="1" fontId="0" fillId="2" borderId="86" xfId="0" applyNumberFormat="1" applyFill="1" applyBorder="1" applyAlignment="1">
      <alignment horizontal="center"/>
    </xf>
    <xf numFmtId="1" fontId="0" fillId="2" borderId="0" xfId="0" applyNumberFormat="1" applyFill="1" applyAlignment="1">
      <alignment horizontal="center"/>
    </xf>
    <xf numFmtId="1" fontId="0" fillId="2" borderId="29" xfId="0" applyNumberFormat="1" applyFill="1" applyBorder="1" applyAlignment="1">
      <alignment horizontal="center"/>
    </xf>
    <xf numFmtId="0" fontId="10" fillId="3" borderId="31" xfId="0" applyFont="1" applyFill="1" applyBorder="1" applyAlignment="1">
      <alignment vertical="center"/>
    </xf>
    <xf numFmtId="0" fontId="10" fillId="3" borderId="33" xfId="0" applyFont="1" applyFill="1" applyBorder="1" applyAlignment="1">
      <alignment horizontal="center" vertical="center" wrapText="1"/>
    </xf>
    <xf numFmtId="0" fontId="10" fillId="3" borderId="32" xfId="0" applyFont="1" applyFill="1" applyBorder="1" applyAlignment="1">
      <alignment horizontal="center" vertical="center" wrapText="1"/>
    </xf>
    <xf numFmtId="1" fontId="7" fillId="0" borderId="6" xfId="0" applyNumberFormat="1" applyFont="1" applyBorder="1" applyAlignment="1">
      <alignment horizontal="left"/>
    </xf>
    <xf numFmtId="1" fontId="7" fillId="0" borderId="8" xfId="0" applyNumberFormat="1" applyFont="1" applyBorder="1" applyAlignment="1">
      <alignment horizontal="left"/>
    </xf>
    <xf numFmtId="0" fontId="0" fillId="49" borderId="29" xfId="0" applyFill="1" applyBorder="1"/>
    <xf numFmtId="0" fontId="0" fillId="49" borderId="86" xfId="0" applyFill="1" applyBorder="1"/>
    <xf numFmtId="0" fontId="0" fillId="3" borderId="37" xfId="0" applyFill="1" applyBorder="1"/>
    <xf numFmtId="0" fontId="0" fillId="3" borderId="146" xfId="0" applyFill="1" applyBorder="1"/>
    <xf numFmtId="0" fontId="1" fillId="3" borderId="146" xfId="0" applyFont="1" applyFill="1" applyBorder="1" applyAlignment="1">
      <alignment horizontal="center"/>
    </xf>
    <xf numFmtId="0" fontId="0" fillId="49" borderId="86" xfId="0" applyFill="1" applyBorder="1" applyAlignment="1">
      <alignment horizontal="center"/>
    </xf>
    <xf numFmtId="167" fontId="0" fillId="0" borderId="0" xfId="0" applyNumberFormat="1" applyAlignment="1">
      <alignment horizontal="right"/>
    </xf>
    <xf numFmtId="0" fontId="1" fillId="0" borderId="9" xfId="0" applyFont="1" applyBorder="1" applyAlignment="1">
      <alignment horizontal="left"/>
    </xf>
    <xf numFmtId="0" fontId="1" fillId="3" borderId="12"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49" fillId="53" borderId="2" xfId="0" applyFont="1" applyFill="1" applyBorder="1" applyAlignment="1">
      <alignment horizontal="center" vertical="center"/>
    </xf>
    <xf numFmtId="0" fontId="49" fillId="53" borderId="3" xfId="0" applyFont="1" applyFill="1" applyBorder="1" applyAlignment="1">
      <alignment horizontal="center" vertical="center"/>
    </xf>
    <xf numFmtId="0" fontId="49" fillId="53" borderId="4" xfId="0" applyFont="1" applyFill="1" applyBorder="1" applyAlignment="1">
      <alignment horizontal="center" vertical="center"/>
    </xf>
    <xf numFmtId="0" fontId="68" fillId="0" borderId="0" xfId="0" quotePrefix="1" applyFont="1" applyAlignment="1">
      <alignment horizontal="left" vertical="center" wrapText="1"/>
    </xf>
    <xf numFmtId="0" fontId="49" fillId="50" borderId="5" xfId="0" applyFont="1" applyFill="1" applyBorder="1" applyAlignment="1">
      <alignment horizontal="center" vertical="center"/>
    </xf>
    <xf numFmtId="0" fontId="49" fillId="50" borderId="0" xfId="0" applyFont="1" applyFill="1" applyAlignment="1">
      <alignment horizontal="center" vertical="center"/>
    </xf>
    <xf numFmtId="0" fontId="49" fillId="50" borderId="6" xfId="0" applyFont="1" applyFill="1" applyBorder="1" applyAlignment="1">
      <alignment horizontal="center" vertical="center"/>
    </xf>
    <xf numFmtId="0" fontId="50" fillId="52" borderId="5" xfId="0" applyFont="1" applyFill="1" applyBorder="1" applyAlignment="1">
      <alignment horizontal="center" vertical="center"/>
    </xf>
    <xf numFmtId="0" fontId="50" fillId="52" borderId="0" xfId="0" applyFont="1" applyFill="1" applyAlignment="1">
      <alignment horizontal="center" vertical="center"/>
    </xf>
    <xf numFmtId="0" fontId="50" fillId="52" borderId="6" xfId="0" applyFont="1" applyFill="1" applyBorder="1" applyAlignment="1">
      <alignment horizontal="center" vertical="center"/>
    </xf>
    <xf numFmtId="0" fontId="49" fillId="51" borderId="5" xfId="0" applyFont="1" applyFill="1" applyBorder="1" applyAlignment="1">
      <alignment horizontal="center" vertical="center"/>
    </xf>
    <xf numFmtId="0" fontId="49" fillId="51" borderId="0" xfId="0" applyFont="1" applyFill="1" applyAlignment="1">
      <alignment horizontal="center" vertical="center"/>
    </xf>
    <xf numFmtId="0" fontId="49" fillId="51" borderId="6" xfId="0" applyFont="1" applyFill="1" applyBorder="1" applyAlignment="1">
      <alignment horizontal="center" vertical="center"/>
    </xf>
    <xf numFmtId="0" fontId="49" fillId="63" borderId="7" xfId="0" applyFont="1" applyFill="1" applyBorder="1" applyAlignment="1">
      <alignment horizontal="center" vertical="center"/>
    </xf>
    <xf numFmtId="0" fontId="49" fillId="63" borderId="1" xfId="0" applyFont="1" applyFill="1" applyBorder="1" applyAlignment="1">
      <alignment horizontal="center" vertical="center"/>
    </xf>
    <xf numFmtId="0" fontId="49" fillId="63" borderId="8" xfId="0" applyFont="1" applyFill="1" applyBorder="1" applyAlignment="1">
      <alignment horizontal="center" vertical="center"/>
    </xf>
    <xf numFmtId="0" fontId="81" fillId="61" borderId="36" xfId="0" applyFont="1" applyFill="1" applyBorder="1" applyAlignment="1">
      <alignment horizontal="center" vertical="center" textRotation="90" wrapText="1"/>
    </xf>
    <xf numFmtId="0" fontId="81" fillId="61" borderId="0" xfId="0" applyFont="1" applyFill="1" applyAlignment="1">
      <alignment horizontal="center" vertical="center" textRotation="90" wrapText="1"/>
    </xf>
    <xf numFmtId="0" fontId="3" fillId="0" borderId="36" xfId="0" applyFont="1" applyBorder="1" applyAlignment="1">
      <alignment horizontal="left" vertical="center" wrapText="1"/>
    </xf>
    <xf numFmtId="0" fontId="3" fillId="0" borderId="0" xfId="0" applyFont="1" applyAlignment="1">
      <alignment horizontal="left" vertical="center" wrapText="1"/>
    </xf>
    <xf numFmtId="0" fontId="81" fillId="41" borderId="36" xfId="0" applyFont="1" applyFill="1" applyBorder="1" applyAlignment="1">
      <alignment horizontal="center" vertical="center" textRotation="90" wrapText="1"/>
    </xf>
    <xf numFmtId="0" fontId="81" fillId="41" borderId="0" xfId="0" applyFont="1" applyFill="1" applyAlignment="1">
      <alignment horizontal="center" vertical="center" textRotation="90"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79" fillId="58" borderId="36" xfId="0" applyFont="1" applyFill="1" applyBorder="1" applyAlignment="1">
      <alignment horizontal="center" vertical="center" textRotation="90"/>
    </xf>
    <xf numFmtId="0" fontId="79" fillId="58" borderId="0" xfId="0" applyFont="1" applyFill="1" applyAlignment="1">
      <alignment horizontal="center" vertical="center" textRotation="90"/>
    </xf>
    <xf numFmtId="0" fontId="3" fillId="0" borderId="36" xfId="0" applyFont="1" applyBorder="1" applyAlignment="1">
      <alignment horizontal="left" vertical="center"/>
    </xf>
    <xf numFmtId="0" fontId="3" fillId="0" borderId="0" xfId="0" applyFont="1" applyAlignment="1">
      <alignment horizontal="left" vertical="center"/>
    </xf>
    <xf numFmtId="0" fontId="79" fillId="59" borderId="36" xfId="0" applyFont="1" applyFill="1" applyBorder="1" applyAlignment="1">
      <alignment horizontal="center" vertical="center" textRotation="90"/>
    </xf>
    <xf numFmtId="0" fontId="79" fillId="59" borderId="0" xfId="0" applyFont="1" applyFill="1" applyAlignment="1">
      <alignment horizontal="center" vertical="center" textRotation="90"/>
    </xf>
    <xf numFmtId="0" fontId="79" fillId="60" borderId="36" xfId="0" applyFont="1" applyFill="1" applyBorder="1" applyAlignment="1">
      <alignment horizontal="center" vertical="center" textRotation="90"/>
    </xf>
    <xf numFmtId="0" fontId="79" fillId="60" borderId="0" xfId="0" applyFont="1" applyFill="1" applyAlignment="1">
      <alignment horizontal="center" vertical="center" textRotation="90"/>
    </xf>
    <xf numFmtId="0" fontId="1" fillId="0" borderId="0" xfId="0" applyFont="1" applyAlignment="1">
      <alignment horizontal="center"/>
    </xf>
    <xf numFmtId="0" fontId="1" fillId="0" borderId="80" xfId="0" applyFont="1" applyBorder="1" applyAlignment="1">
      <alignment horizontal="center" wrapText="1"/>
    </xf>
    <xf numFmtId="0" fontId="1" fillId="0" borderId="10" xfId="0" applyFont="1" applyBorder="1" applyAlignment="1">
      <alignment horizontal="center"/>
    </xf>
    <xf numFmtId="0" fontId="1" fillId="0" borderId="0" xfId="0" applyFont="1" applyAlignment="1">
      <alignment horizontal="center" vertical="center" wrapText="1"/>
    </xf>
    <xf numFmtId="0" fontId="63" fillId="0" borderId="1" xfId="0" applyFont="1" applyBorder="1" applyAlignment="1">
      <alignment horizontal="left"/>
    </xf>
    <xf numFmtId="0" fontId="82" fillId="0" borderId="0" xfId="0" applyFont="1" applyAlignment="1">
      <alignment horizontal="left" vertical="top" wrapText="1" readingOrder="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0" fillId="0" borderId="48" xfId="0" applyFont="1" applyBorder="1" applyAlignment="1">
      <alignment horizontal="center" vertical="center"/>
    </xf>
    <xf numFmtId="0" fontId="10" fillId="0" borderId="35" xfId="0" applyFont="1" applyBorder="1" applyAlignment="1">
      <alignment horizontal="center" vertical="center"/>
    </xf>
    <xf numFmtId="0" fontId="10" fillId="0" borderId="34" xfId="0" applyFont="1" applyBorder="1" applyAlignment="1">
      <alignment horizontal="center" vertical="center"/>
    </xf>
    <xf numFmtId="0" fontId="0" fillId="0" borderId="130" xfId="0" applyBorder="1" applyAlignment="1"/>
    <xf numFmtId="0" fontId="0" fillId="0" borderId="132" xfId="0" applyBorder="1" applyAlignment="1"/>
    <xf numFmtId="0" fontId="0" fillId="0" borderId="131" xfId="0" applyBorder="1" applyAlignment="1"/>
    <xf numFmtId="0" fontId="0" fillId="0" borderId="0" xfId="0" applyAlignment="1">
      <alignment horizontal="center" vertical="center" wrapText="1"/>
    </xf>
    <xf numFmtId="0" fontId="0" fillId="0" borderId="130" xfId="0" applyBorder="1" applyAlignment="1">
      <alignment wrapText="1"/>
    </xf>
    <xf numFmtId="0" fontId="0" fillId="0" borderId="131" xfId="0" applyBorder="1" applyAlignment="1">
      <alignment wrapText="1"/>
    </xf>
    <xf numFmtId="0" fontId="26" fillId="0" borderId="0" xfId="0" applyFont="1" applyAlignment="1">
      <alignment horizontal="center" wrapText="1"/>
    </xf>
    <xf numFmtId="0" fontId="0" fillId="0" borderId="29" xfId="0" applyBorder="1" applyAlignment="1">
      <alignment horizontal="center" wrapText="1"/>
    </xf>
    <xf numFmtId="0" fontId="0" fillId="0" borderId="129"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29" xfId="0" applyBorder="1" applyAlignment="1">
      <alignment horizontal="center" vertical="center" wrapText="1"/>
    </xf>
    <xf numFmtId="9" fontId="7" fillId="0" borderId="0" xfId="3" applyFont="1" applyFill="1" applyBorder="1" applyAlignment="1">
      <alignment horizontal="left"/>
    </xf>
    <xf numFmtId="0" fontId="104" fillId="71" borderId="0" xfId="0" applyFont="1" applyFill="1" applyAlignment="1">
      <alignment horizontal="left"/>
    </xf>
    <xf numFmtId="0" fontId="0" fillId="0" borderId="127" xfId="0" applyBorder="1" applyAlignment="1">
      <alignment horizontal="center" wrapText="1"/>
    </xf>
    <xf numFmtId="0" fontId="0" fillId="0" borderId="36" xfId="0" applyBorder="1" applyAlignment="1">
      <alignment horizontal="center" wrapText="1"/>
    </xf>
    <xf numFmtId="0" fontId="0" fillId="0" borderId="128" xfId="0" applyBorder="1" applyAlignment="1">
      <alignment horizontal="center" wrapText="1"/>
    </xf>
    <xf numFmtId="0" fontId="0" fillId="0" borderId="79" xfId="0" applyBorder="1" applyAlignment="1">
      <alignment horizontal="center" wrapText="1"/>
    </xf>
    <xf numFmtId="0" fontId="0" fillId="0" borderId="9" xfId="0" applyBorder="1" applyAlignment="1">
      <alignment horizontal="center" wrapText="1"/>
    </xf>
    <xf numFmtId="0" fontId="0" fillId="0" borderId="87" xfId="0"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 fillId="0" borderId="129"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9" fontId="7" fillId="49" borderId="0" xfId="3" applyFont="1" applyFill="1" applyBorder="1" applyAlignment="1">
      <alignment horizontal="left"/>
    </xf>
    <xf numFmtId="169" fontId="7" fillId="0" borderId="0" xfId="2" applyNumberFormat="1" applyFont="1" applyAlignment="1">
      <alignment horizontal="center"/>
    </xf>
    <xf numFmtId="0" fontId="63" fillId="70" borderId="0" xfId="0" applyFont="1" applyFill="1" applyAlignment="1">
      <alignment horizontal="left" vertical="center" wrapText="1"/>
    </xf>
    <xf numFmtId="168" fontId="7" fillId="49" borderId="0" xfId="3" applyNumberFormat="1" applyFont="1" applyFill="1" applyBorder="1" applyAlignment="1">
      <alignment horizontal="left"/>
    </xf>
    <xf numFmtId="0" fontId="85" fillId="67" borderId="0" xfId="0" applyFont="1" applyFill="1" applyAlignment="1">
      <alignment horizontal="left" vertical="top" wrapText="1"/>
    </xf>
    <xf numFmtId="0" fontId="1" fillId="3" borderId="16" xfId="0" applyFont="1" applyFill="1" applyBorder="1" applyAlignment="1">
      <alignment horizontal="center"/>
    </xf>
    <xf numFmtId="0" fontId="1" fillId="3" borderId="18" xfId="0" applyFont="1" applyFill="1" applyBorder="1" applyAlignment="1">
      <alignment horizontal="center"/>
    </xf>
    <xf numFmtId="0" fontId="50" fillId="0" borderId="120" xfId="0" applyFont="1" applyBorder="1" applyAlignment="1">
      <alignment horizontal="center" vertical="center"/>
    </xf>
    <xf numFmtId="0" fontId="50" fillId="0" borderId="13" xfId="0" applyFont="1" applyBorder="1" applyAlignment="1">
      <alignment horizontal="center" vertical="center"/>
    </xf>
    <xf numFmtId="0" fontId="44" fillId="43" borderId="12" xfId="0" applyFont="1" applyFill="1" applyBorder="1" applyAlignment="1">
      <alignment horizontal="center" vertical="center"/>
    </xf>
    <xf numFmtId="0" fontId="44" fillId="43" borderId="14" xfId="0" applyFont="1" applyFill="1" applyBorder="1" applyAlignment="1">
      <alignment horizontal="center" vertical="center"/>
    </xf>
    <xf numFmtId="0" fontId="57" fillId="47" borderId="16" xfId="0" applyFont="1" applyFill="1" applyBorder="1" applyAlignment="1">
      <alignment horizontal="center" vertical="center" wrapText="1"/>
    </xf>
    <xf numFmtId="0" fontId="57" fillId="47" borderId="17" xfId="0" applyFont="1" applyFill="1" applyBorder="1" applyAlignment="1">
      <alignment horizontal="center" vertical="center" wrapText="1"/>
    </xf>
    <xf numFmtId="0" fontId="57" fillId="47" borderId="18" xfId="0" applyFont="1" applyFill="1" applyBorder="1" applyAlignment="1">
      <alignment horizontal="center" vertical="center" wrapText="1"/>
    </xf>
    <xf numFmtId="0" fontId="44" fillId="48" borderId="16" xfId="0" applyFont="1" applyFill="1" applyBorder="1" applyAlignment="1">
      <alignment horizontal="center" vertical="center"/>
    </xf>
    <xf numFmtId="0" fontId="44" fillId="48" borderId="17" xfId="0" applyFont="1" applyFill="1" applyBorder="1" applyAlignment="1">
      <alignment horizontal="center" vertical="center"/>
    </xf>
    <xf numFmtId="0" fontId="44" fillId="48" borderId="18" xfId="0" applyFont="1" applyFill="1" applyBorder="1" applyAlignment="1">
      <alignment horizontal="center" vertical="center"/>
    </xf>
    <xf numFmtId="0" fontId="66" fillId="0" borderId="104" xfId="0" applyFont="1" applyBorder="1" applyAlignment="1">
      <alignment horizontal="center" vertical="center"/>
    </xf>
    <xf numFmtId="0" fontId="66" fillId="0" borderId="3" xfId="0" applyFont="1" applyBorder="1" applyAlignment="1">
      <alignment horizontal="center" vertical="center"/>
    </xf>
    <xf numFmtId="0" fontId="66" fillId="0" borderId="105" xfId="0" applyFont="1" applyBorder="1" applyAlignment="1">
      <alignment horizontal="center" vertical="center"/>
    </xf>
    <xf numFmtId="0" fontId="66" fillId="0" borderId="106" xfId="0" applyFont="1" applyBorder="1" applyAlignment="1">
      <alignment horizontal="center" vertical="center"/>
    </xf>
    <xf numFmtId="0" fontId="66" fillId="0" borderId="0" xfId="0" applyFont="1" applyAlignment="1">
      <alignment horizontal="center" vertical="center"/>
    </xf>
    <xf numFmtId="0" fontId="66" fillId="0" borderId="107" xfId="0" applyFont="1" applyBorder="1" applyAlignment="1">
      <alignment horizontal="center" vertical="center"/>
    </xf>
    <xf numFmtId="0" fontId="66" fillId="0" borderId="116" xfId="0" applyFont="1" applyBorder="1" applyAlignment="1">
      <alignment horizontal="center" vertical="center"/>
    </xf>
    <xf numFmtId="0" fontId="66" fillId="0" borderId="1" xfId="0" applyFont="1" applyBorder="1" applyAlignment="1">
      <alignment horizontal="center" vertical="center"/>
    </xf>
    <xf numFmtId="0" fontId="66" fillId="0" borderId="117" xfId="0" applyFont="1" applyBorder="1" applyAlignment="1">
      <alignment horizontal="center" vertical="center"/>
    </xf>
    <xf numFmtId="0" fontId="57" fillId="47" borderId="2" xfId="0" applyFont="1" applyFill="1" applyBorder="1" applyAlignment="1">
      <alignment horizontal="center" vertical="center" wrapText="1"/>
    </xf>
    <xf numFmtId="0" fontId="57" fillId="47" borderId="7" xfId="0" applyFont="1" applyFill="1" applyBorder="1" applyAlignment="1">
      <alignment horizontal="center" vertical="center" wrapText="1"/>
    </xf>
    <xf numFmtId="0" fontId="49" fillId="0" borderId="2" xfId="0" applyFont="1" applyBorder="1" applyAlignment="1">
      <alignment horizontal="center" vertical="center"/>
    </xf>
    <xf numFmtId="0" fontId="49" fillId="0" borderId="7" xfId="0" applyFont="1" applyBorder="1" applyAlignment="1">
      <alignment horizontal="center" vertical="center"/>
    </xf>
    <xf numFmtId="0" fontId="50" fillId="0" borderId="104" xfId="0" applyFont="1" applyBorder="1" applyAlignment="1">
      <alignment horizontal="center" vertical="center"/>
    </xf>
    <xf numFmtId="0" fontId="50" fillId="0" borderId="3" xfId="0" applyFont="1" applyBorder="1" applyAlignment="1">
      <alignment horizontal="center" vertical="center"/>
    </xf>
    <xf numFmtId="0" fontId="50" fillId="0" borderId="116" xfId="0" applyFont="1" applyBorder="1" applyAlignment="1">
      <alignment horizontal="center" vertical="center"/>
    </xf>
    <xf numFmtId="0" fontId="50" fillId="0" borderId="1" xfId="0" applyFont="1" applyBorder="1" applyAlignment="1">
      <alignment horizontal="center" vertical="center"/>
    </xf>
    <xf numFmtId="0" fontId="57" fillId="47" borderId="2" xfId="0" applyFont="1" applyFill="1" applyBorder="1" applyAlignment="1">
      <alignment horizontal="center" vertical="center"/>
    </xf>
    <xf numFmtId="0" fontId="57" fillId="47" borderId="5" xfId="0" applyFont="1" applyFill="1" applyBorder="1" applyAlignment="1">
      <alignment horizontal="center" vertical="center"/>
    </xf>
    <xf numFmtId="0" fontId="57" fillId="47" borderId="7" xfId="0" applyFont="1" applyFill="1" applyBorder="1" applyAlignment="1">
      <alignment horizontal="center" vertical="center"/>
    </xf>
    <xf numFmtId="0" fontId="50" fillId="0" borderId="106" xfId="0" applyFont="1" applyBorder="1" applyAlignment="1">
      <alignment horizontal="center" vertical="center"/>
    </xf>
    <xf numFmtId="0" fontId="50" fillId="0" borderId="0" xfId="0" applyFont="1" applyAlignment="1">
      <alignment horizontal="center" vertical="center"/>
    </xf>
    <xf numFmtId="0" fontId="44" fillId="65" borderId="104" xfId="0" applyFont="1" applyFill="1" applyBorder="1" applyAlignment="1">
      <alignment horizontal="center" vertical="center" wrapText="1"/>
    </xf>
    <xf numFmtId="0" fontId="44" fillId="65" borderId="4" xfId="0" applyFont="1" applyFill="1" applyBorder="1" applyAlignment="1">
      <alignment horizontal="center" vertical="center" wrapText="1"/>
    </xf>
    <xf numFmtId="0" fontId="44" fillId="65" borderId="106" xfId="0" applyFont="1" applyFill="1" applyBorder="1" applyAlignment="1">
      <alignment horizontal="center" vertical="center" wrapText="1"/>
    </xf>
    <xf numFmtId="0" fontId="44" fillId="65" borderId="6" xfId="0" applyFont="1" applyFill="1" applyBorder="1" applyAlignment="1">
      <alignment horizontal="center" vertical="center" wrapText="1"/>
    </xf>
    <xf numFmtId="0" fontId="1" fillId="49" borderId="2" xfId="0" applyFont="1" applyFill="1" applyBorder="1" applyAlignment="1">
      <alignment horizontal="center" vertical="center"/>
    </xf>
    <xf numFmtId="0" fontId="1" fillId="49" borderId="4" xfId="0" applyFont="1" applyFill="1" applyBorder="1" applyAlignment="1">
      <alignment horizontal="center" vertical="center"/>
    </xf>
    <xf numFmtId="0" fontId="1" fillId="49" borderId="7" xfId="0" applyFont="1" applyFill="1" applyBorder="1" applyAlignment="1">
      <alignment horizontal="center" vertical="center"/>
    </xf>
    <xf numFmtId="0" fontId="1" fillId="49" borderId="8" xfId="0" applyFont="1" applyFill="1" applyBorder="1" applyAlignment="1">
      <alignment horizontal="center" vertical="center"/>
    </xf>
    <xf numFmtId="0" fontId="57" fillId="47" borderId="5" xfId="0" applyFont="1" applyFill="1" applyBorder="1" applyAlignment="1">
      <alignment horizontal="center" vertical="center" wrapText="1"/>
    </xf>
    <xf numFmtId="0" fontId="49" fillId="0" borderId="5" xfId="0" applyFont="1" applyBorder="1" applyAlignment="1">
      <alignment horizontal="center" vertical="center"/>
    </xf>
    <xf numFmtId="0" fontId="44" fillId="46" borderId="104" xfId="0" applyFont="1" applyFill="1" applyBorder="1" applyAlignment="1">
      <alignment horizontal="center" vertical="center" wrapText="1"/>
    </xf>
    <xf numFmtId="0" fontId="44" fillId="46" borderId="4" xfId="0" applyFont="1" applyFill="1" applyBorder="1" applyAlignment="1">
      <alignment horizontal="center" vertical="center" wrapText="1"/>
    </xf>
    <xf numFmtId="0" fontId="44" fillId="46" borderId="106" xfId="0" applyFont="1" applyFill="1" applyBorder="1" applyAlignment="1">
      <alignment horizontal="center" vertical="center" wrapText="1"/>
    </xf>
    <xf numFmtId="0" fontId="44" fillId="46" borderId="6" xfId="0" applyFont="1" applyFill="1" applyBorder="1" applyAlignment="1">
      <alignment horizontal="center" vertical="center" wrapText="1"/>
    </xf>
    <xf numFmtId="0" fontId="26" fillId="2" borderId="0" xfId="0" applyFont="1" applyFill="1" applyAlignment="1">
      <alignment horizontal="center" vertical="center"/>
    </xf>
    <xf numFmtId="0" fontId="44" fillId="43" borderId="2" xfId="0" applyFont="1" applyFill="1" applyBorder="1" applyAlignment="1">
      <alignment horizontal="center" vertical="center" wrapText="1"/>
    </xf>
    <xf numFmtId="0" fontId="44" fillId="43" borderId="4" xfId="0" applyFont="1" applyFill="1" applyBorder="1" applyAlignment="1">
      <alignment horizontal="center" vertical="center" wrapText="1"/>
    </xf>
    <xf numFmtId="0" fontId="44" fillId="43" borderId="5" xfId="0" applyFont="1" applyFill="1" applyBorder="1" applyAlignment="1">
      <alignment horizontal="center" vertical="center" wrapText="1"/>
    </xf>
    <xf numFmtId="0" fontId="44" fillId="43" borderId="6" xfId="0" applyFont="1" applyFill="1" applyBorder="1" applyAlignment="1">
      <alignment horizontal="center" vertical="center" wrapText="1"/>
    </xf>
    <xf numFmtId="0" fontId="44" fillId="43" borderId="7" xfId="0" applyFont="1" applyFill="1" applyBorder="1" applyAlignment="1">
      <alignment horizontal="center" vertical="center" wrapText="1"/>
    </xf>
    <xf numFmtId="0" fontId="44" fillId="43" borderId="8" xfId="0" applyFont="1" applyFill="1" applyBorder="1" applyAlignment="1">
      <alignment horizontal="center" vertical="center" wrapText="1"/>
    </xf>
    <xf numFmtId="0" fontId="44" fillId="44" borderId="2" xfId="0" applyFont="1" applyFill="1" applyBorder="1" applyAlignment="1">
      <alignment horizontal="center" vertical="center"/>
    </xf>
    <xf numFmtId="0" fontId="44" fillId="44" borderId="5" xfId="0" applyFont="1" applyFill="1" applyBorder="1" applyAlignment="1">
      <alignment horizontal="center" vertical="center"/>
    </xf>
    <xf numFmtId="0" fontId="56" fillId="45" borderId="104" xfId="0" applyFont="1" applyFill="1" applyBorder="1" applyAlignment="1">
      <alignment horizontal="center" vertical="center" wrapText="1"/>
    </xf>
    <xf numFmtId="0" fontId="56" fillId="45" borderId="3" xfId="0" applyFont="1" applyFill="1" applyBorder="1" applyAlignment="1">
      <alignment horizontal="center" vertical="center" wrapText="1"/>
    </xf>
    <xf numFmtId="0" fontId="56" fillId="45" borderId="105" xfId="0" applyFont="1" applyFill="1" applyBorder="1" applyAlignment="1">
      <alignment horizontal="center" vertical="center" wrapText="1"/>
    </xf>
    <xf numFmtId="0" fontId="56" fillId="45" borderId="106" xfId="0" applyFont="1" applyFill="1" applyBorder="1" applyAlignment="1">
      <alignment horizontal="center" vertical="center" wrapText="1"/>
    </xf>
    <xf numFmtId="0" fontId="56" fillId="45" borderId="0" xfId="0" applyFont="1" applyFill="1" applyAlignment="1">
      <alignment horizontal="center" vertical="center" wrapText="1"/>
    </xf>
    <xf numFmtId="0" fontId="56" fillId="45" borderId="107" xfId="0" applyFont="1" applyFill="1" applyBorder="1" applyAlignment="1">
      <alignment horizontal="center" vertical="center" wrapText="1"/>
    </xf>
    <xf numFmtId="0" fontId="11" fillId="0" borderId="0" xfId="0" applyFont="1" applyAlignment="1">
      <alignment horizontal="left" vertical="center" wrapText="1"/>
    </xf>
    <xf numFmtId="0" fontId="76" fillId="39" borderId="12" xfId="0" applyFont="1" applyFill="1" applyBorder="1" applyAlignment="1">
      <alignment horizontal="center" vertical="center" wrapText="1"/>
    </xf>
    <xf numFmtId="0" fontId="76" fillId="39" borderId="13" xfId="0" applyFont="1" applyFill="1" applyBorder="1" applyAlignment="1">
      <alignment horizontal="center" vertical="center" wrapText="1"/>
    </xf>
    <xf numFmtId="0" fontId="76" fillId="39" borderId="14" xfId="0" applyFont="1" applyFill="1" applyBorder="1" applyAlignment="1">
      <alignment horizontal="center" vertical="center" wrapText="1"/>
    </xf>
    <xf numFmtId="0" fontId="76" fillId="39" borderId="16" xfId="0" applyFont="1" applyFill="1" applyBorder="1" applyAlignment="1">
      <alignment horizontal="center" vertical="center" wrapText="1"/>
    </xf>
    <xf numFmtId="0" fontId="76" fillId="39" borderId="18" xfId="0" applyFont="1" applyFill="1" applyBorder="1" applyAlignment="1">
      <alignment horizontal="center" vertical="center" wrapText="1"/>
    </xf>
    <xf numFmtId="0" fontId="76" fillId="39" borderId="17" xfId="0" applyFont="1" applyFill="1" applyBorder="1" applyAlignment="1">
      <alignment horizontal="center" vertical="center" wrapText="1"/>
    </xf>
    <xf numFmtId="0" fontId="77" fillId="55" borderId="0" xfId="0" applyFont="1" applyFill="1" applyAlignment="1">
      <alignment horizontal="center" vertical="center" wrapText="1"/>
    </xf>
    <xf numFmtId="0" fontId="77" fillId="40" borderId="5" xfId="0" applyFont="1" applyFill="1" applyBorder="1" applyAlignment="1">
      <alignment horizontal="center" vertical="center" wrapText="1"/>
    </xf>
    <xf numFmtId="0" fontId="77" fillId="40" borderId="0" xfId="0" applyFont="1" applyFill="1" applyAlignment="1">
      <alignment horizontal="center" vertical="center" wrapText="1"/>
    </xf>
    <xf numFmtId="0" fontId="77" fillId="40" borderId="6" xfId="0" applyFont="1" applyFill="1" applyBorder="1" applyAlignment="1">
      <alignment horizontal="center" vertical="center" wrapText="1"/>
    </xf>
    <xf numFmtId="0" fontId="75" fillId="0" borderId="0" xfId="0" applyFont="1" applyAlignment="1"/>
    <xf numFmtId="0" fontId="75" fillId="47" borderId="3" xfId="0" applyFont="1" applyFill="1" applyBorder="1" applyAlignment="1">
      <alignment vertical="center"/>
    </xf>
    <xf numFmtId="0" fontId="75" fillId="47" borderId="0" xfId="0" applyFont="1" applyFill="1" applyAlignment="1">
      <alignment vertical="center"/>
    </xf>
    <xf numFmtId="0" fontId="75" fillId="47" borderId="4" xfId="0" applyFont="1" applyFill="1" applyBorder="1" applyAlignment="1">
      <alignment vertical="center"/>
    </xf>
    <xf numFmtId="0" fontId="75" fillId="47" borderId="6" xfId="0" applyFont="1" applyFill="1" applyBorder="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5" fillId="0" borderId="17" xfId="0" applyFont="1" applyBorder="1" applyAlignment="1">
      <alignment vertical="center"/>
    </xf>
    <xf numFmtId="0" fontId="75" fillId="47" borderId="5" xfId="0" applyFont="1" applyFill="1" applyBorder="1" applyAlignment="1">
      <alignment vertical="center"/>
    </xf>
    <xf numFmtId="0" fontId="7" fillId="73" borderId="16" xfId="0" applyFont="1" applyFill="1" applyBorder="1" applyAlignment="1">
      <alignment vertical="center"/>
    </xf>
    <xf numFmtId="0" fontId="7" fillId="73" borderId="17" xfId="0" applyFont="1" applyFill="1" applyBorder="1" applyAlignment="1">
      <alignment vertical="center"/>
    </xf>
    <xf numFmtId="0" fontId="75" fillId="0" borderId="5" xfId="0" applyFont="1" applyBorder="1" applyAlignment="1"/>
    <xf numFmtId="0" fontId="76" fillId="0" borderId="16" xfId="0" applyFont="1" applyBorder="1" applyAlignment="1">
      <alignment vertical="center"/>
    </xf>
    <xf numFmtId="0" fontId="76" fillId="0" borderId="17" xfId="0" applyFont="1" applyBorder="1" applyAlignment="1">
      <alignment vertical="center"/>
    </xf>
    <xf numFmtId="0" fontId="75" fillId="47" borderId="2" xfId="0" applyFont="1" applyFill="1" applyBorder="1" applyAlignment="1">
      <alignment vertical="center"/>
    </xf>
    <xf numFmtId="0" fontId="76" fillId="0" borderId="2" xfId="0" applyFont="1" applyBorder="1" applyAlignment="1">
      <alignment horizontal="center" vertical="center" wrapText="1"/>
    </xf>
    <xf numFmtId="0" fontId="76"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7" fillId="73" borderId="6" xfId="0" applyFont="1" applyFill="1" applyBorder="1" applyAlignment="1">
      <alignment vertical="center"/>
    </xf>
    <xf numFmtId="0" fontId="7" fillId="76" borderId="17" xfId="0" applyFont="1" applyFill="1" applyBorder="1" applyAlignment="1">
      <alignment vertical="center"/>
    </xf>
    <xf numFmtId="9" fontId="75" fillId="0" borderId="6" xfId="0" applyNumberFormat="1" applyFont="1" applyBorder="1" applyAlignment="1">
      <alignment horizontal="center" vertical="center"/>
    </xf>
    <xf numFmtId="0" fontId="7" fillId="73" borderId="5" xfId="0" applyFont="1" applyFill="1" applyBorder="1" applyAlignment="1">
      <alignment vertical="center"/>
    </xf>
    <xf numFmtId="0" fontId="7" fillId="73" borderId="0" xfId="0" applyFont="1" applyFill="1" applyAlignment="1">
      <alignment vertical="center"/>
    </xf>
    <xf numFmtId="0" fontId="7" fillId="76" borderId="6" xfId="0" applyFont="1" applyFill="1" applyBorder="1" applyAlignment="1">
      <alignment vertical="center"/>
    </xf>
    <xf numFmtId="0" fontId="75" fillId="0" borderId="17" xfId="0" applyFont="1" applyBorder="1" applyAlignment="1">
      <alignment vertical="center" wrapText="1"/>
    </xf>
    <xf numFmtId="0" fontId="75" fillId="0" borderId="5" xfId="0" applyFont="1" applyBorder="1" applyAlignment="1">
      <alignment horizontal="left" vertical="center"/>
    </xf>
    <xf numFmtId="9" fontId="10" fillId="0" borderId="3" xfId="0" applyNumberFormat="1" applyFont="1" applyBorder="1" applyAlignment="1">
      <alignment horizontal="center" vertical="center" wrapText="1"/>
    </xf>
    <xf numFmtId="9" fontId="10" fillId="0" borderId="0" xfId="0" applyNumberFormat="1" applyFont="1" applyAlignment="1">
      <alignment horizontal="center" vertical="center" wrapText="1"/>
    </xf>
    <xf numFmtId="9" fontId="10" fillId="0" borderId="4" xfId="0" applyNumberFormat="1" applyFont="1" applyBorder="1" applyAlignment="1">
      <alignment horizontal="center" vertical="center" wrapText="1"/>
    </xf>
    <xf numFmtId="9" fontId="10" fillId="0" borderId="6" xfId="0" applyNumberFormat="1" applyFont="1" applyBorder="1" applyAlignment="1">
      <alignment horizontal="center" vertical="center" wrapText="1"/>
    </xf>
    <xf numFmtId="0" fontId="76"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78" fillId="57" borderId="0" xfId="0" applyFont="1" applyFill="1" applyAlignment="1">
      <alignment horizontal="center"/>
    </xf>
    <xf numFmtId="0" fontId="75" fillId="0" borderId="0" xfId="0" applyFont="1" applyAlignment="1">
      <alignment horizontal="left"/>
    </xf>
    <xf numFmtId="0" fontId="75" fillId="0" borderId="18" xfId="0" applyFont="1" applyBorder="1" applyAlignment="1">
      <alignment vertical="center" wrapText="1"/>
    </xf>
    <xf numFmtId="0" fontId="7" fillId="0" borderId="8" xfId="0" applyFont="1" applyBorder="1" applyAlignment="1">
      <alignment horizontal="center" vertical="center" wrapText="1"/>
    </xf>
    <xf numFmtId="9" fontId="10" fillId="0" borderId="1" xfId="0" applyNumberFormat="1" applyFont="1" applyBorder="1" applyAlignment="1">
      <alignment horizontal="center" vertical="center" wrapText="1"/>
    </xf>
    <xf numFmtId="9" fontId="10"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54" fillId="0" borderId="73" xfId="0" applyFont="1" applyBorder="1" applyAlignment="1">
      <alignment horizontal="center" vertical="center" wrapText="1"/>
    </xf>
    <xf numFmtId="0" fontId="54" fillId="0" borderId="42" xfId="0" applyFont="1" applyBorder="1" applyAlignment="1">
      <alignment horizontal="center" vertical="center" wrapText="1"/>
    </xf>
    <xf numFmtId="0" fontId="54" fillId="0" borderId="41" xfId="0" applyFont="1" applyBorder="1" applyAlignment="1">
      <alignment horizontal="center" vertical="center" wrapText="1"/>
    </xf>
    <xf numFmtId="0" fontId="54" fillId="0" borderId="45" xfId="0" applyFont="1" applyBorder="1" applyAlignment="1">
      <alignment horizontal="center" vertical="center" wrapText="1"/>
    </xf>
    <xf numFmtId="0" fontId="54" fillId="0" borderId="44" xfId="0" applyFont="1" applyBorder="1" applyAlignment="1">
      <alignment horizontal="center" vertical="center" wrapText="1"/>
    </xf>
    <xf numFmtId="0" fontId="54" fillId="0" borderId="43" xfId="0" applyFont="1" applyBorder="1" applyAlignment="1">
      <alignment horizontal="center" vertical="center" wrapText="1"/>
    </xf>
    <xf numFmtId="0" fontId="1" fillId="0" borderId="44" xfId="0" applyFont="1" applyBorder="1" applyAlignment="1">
      <alignment horizontal="left" vertical="center"/>
    </xf>
    <xf numFmtId="0" fontId="1" fillId="0" borderId="43" xfId="0" applyFont="1" applyBorder="1" applyAlignment="1">
      <alignment horizontal="left" vertical="center"/>
    </xf>
    <xf numFmtId="0" fontId="54" fillId="0" borderId="71" xfId="0" applyFont="1" applyBorder="1" applyAlignment="1">
      <alignment horizontal="center" vertical="center" wrapText="1"/>
    </xf>
    <xf numFmtId="0" fontId="54" fillId="0" borderId="59" xfId="0" applyFont="1" applyBorder="1" applyAlignment="1">
      <alignment horizontal="center" vertical="center"/>
    </xf>
    <xf numFmtId="0" fontId="54" fillId="0" borderId="44" xfId="0" applyFont="1" applyBorder="1" applyAlignment="1">
      <alignment horizontal="center" vertical="center"/>
    </xf>
    <xf numFmtId="0" fontId="54" fillId="0" borderId="43" xfId="0" applyFont="1" applyBorder="1" applyAlignment="1">
      <alignment horizontal="center" vertical="center"/>
    </xf>
    <xf numFmtId="0" fontId="1" fillId="0" borderId="66" xfId="0" applyFont="1" applyBorder="1" applyAlignment="1">
      <alignment horizontal="left" vertical="center" wrapText="1"/>
    </xf>
    <xf numFmtId="0" fontId="1" fillId="0" borderId="65" xfId="0" applyFont="1" applyBorder="1" applyAlignment="1">
      <alignment horizontal="left" vertical="center"/>
    </xf>
    <xf numFmtId="0" fontId="74" fillId="0" borderId="62" xfId="0" applyFont="1" applyBorder="1" applyAlignment="1">
      <alignment horizontal="center" vertical="center" wrapText="1"/>
    </xf>
    <xf numFmtId="0" fontId="74" fillId="0" borderId="64" xfId="0" applyFont="1" applyBorder="1" applyAlignment="1">
      <alignment horizontal="center" vertical="center" wrapText="1"/>
    </xf>
    <xf numFmtId="0" fontId="74" fillId="0" borderId="63" xfId="0" applyFont="1" applyBorder="1" applyAlignment="1">
      <alignment horizontal="center" vertical="center" wrapText="1"/>
    </xf>
    <xf numFmtId="0" fontId="1" fillId="0" borderId="0" xfId="0" applyFont="1" applyAlignment="1">
      <alignment horizontal="left" vertical="center"/>
    </xf>
    <xf numFmtId="0" fontId="1" fillId="0" borderId="6" xfId="0" applyFont="1" applyBorder="1" applyAlignment="1">
      <alignment horizontal="left" vertical="center"/>
    </xf>
    <xf numFmtId="0" fontId="60" fillId="0" borderId="70" xfId="0" applyFont="1" applyBorder="1" applyAlignment="1">
      <alignment horizontal="left" vertical="top" wrapText="1"/>
    </xf>
    <xf numFmtId="0" fontId="60" fillId="0" borderId="5" xfId="0" applyFont="1" applyBorder="1" applyAlignment="1">
      <alignment horizontal="left" vertical="top" wrapText="1"/>
    </xf>
    <xf numFmtId="0" fontId="60" fillId="0" borderId="46" xfId="0" applyFont="1" applyBorder="1" applyAlignment="1">
      <alignment horizontal="left" vertical="top"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54" fillId="0" borderId="69" xfId="0" applyFont="1" applyBorder="1" applyAlignment="1">
      <alignment horizontal="center" vertical="center" wrapText="1"/>
    </xf>
    <xf numFmtId="0" fontId="54" fillId="0" borderId="68" xfId="0" applyFont="1" applyBorder="1" applyAlignment="1">
      <alignment horizontal="center" vertical="center" wrapText="1"/>
    </xf>
    <xf numFmtId="0" fontId="54" fillId="0" borderId="67" xfId="0" applyFont="1" applyBorder="1" applyAlignment="1">
      <alignment horizontal="center" vertical="center" wrapText="1"/>
    </xf>
    <xf numFmtId="0" fontId="74" fillId="0" borderId="52" xfId="0" applyFont="1" applyBorder="1" applyAlignment="1">
      <alignment horizontal="center" vertical="center" wrapText="1"/>
    </xf>
    <xf numFmtId="0" fontId="74" fillId="0" borderId="53" xfId="0" applyFont="1" applyBorder="1" applyAlignment="1">
      <alignment horizontal="center" vertical="center" wrapText="1"/>
    </xf>
    <xf numFmtId="0" fontId="74" fillId="0" borderId="54" xfId="0" applyFont="1" applyBorder="1" applyAlignment="1">
      <alignment horizontal="center" vertical="center" wrapText="1"/>
    </xf>
    <xf numFmtId="0" fontId="74" fillId="0" borderId="5" xfId="0" applyFont="1" applyBorder="1" applyAlignment="1">
      <alignment horizontal="center" vertical="center" wrapText="1"/>
    </xf>
    <xf numFmtId="0" fontId="74" fillId="0" borderId="0" xfId="0" applyFont="1" applyAlignment="1">
      <alignment horizontal="center" vertical="center" wrapText="1"/>
    </xf>
    <xf numFmtId="0" fontId="74" fillId="0" borderId="6" xfId="0" applyFont="1" applyBorder="1" applyAlignment="1">
      <alignment horizontal="center" vertical="center" wrapText="1"/>
    </xf>
    <xf numFmtId="0" fontId="74" fillId="0" borderId="46" xfId="0" applyFont="1" applyBorder="1" applyAlignment="1">
      <alignment horizontal="center" vertical="center" wrapText="1"/>
    </xf>
    <xf numFmtId="0" fontId="74" fillId="0" borderId="15" xfId="0" applyFont="1" applyBorder="1" applyAlignment="1">
      <alignment horizontal="center" vertical="center" wrapText="1"/>
    </xf>
    <xf numFmtId="0" fontId="74" fillId="0" borderId="30" xfId="0" applyFont="1" applyBorder="1" applyAlignment="1">
      <alignment horizontal="center" vertical="center" wrapText="1"/>
    </xf>
    <xf numFmtId="0" fontId="1" fillId="0" borderId="80" xfId="0" applyFont="1" applyBorder="1" applyAlignment="1">
      <alignment horizontal="left" vertical="center" wrapText="1"/>
    </xf>
    <xf numFmtId="0" fontId="1" fillId="0" borderId="143" xfId="0" applyFont="1" applyBorder="1" applyAlignment="1">
      <alignment horizontal="left" vertical="center" wrapText="1"/>
    </xf>
    <xf numFmtId="0" fontId="1" fillId="0" borderId="144" xfId="0" applyFont="1" applyBorder="1" applyAlignment="1">
      <alignment horizontal="left" vertical="center"/>
    </xf>
    <xf numFmtId="0" fontId="1" fillId="0" borderId="138" xfId="0" applyFont="1" applyBorder="1" applyAlignment="1">
      <alignment horizontal="left" vertical="center"/>
    </xf>
    <xf numFmtId="0" fontId="1" fillId="0" borderId="80" xfId="0" applyFont="1" applyBorder="1" applyAlignment="1">
      <alignment horizontal="left" vertical="center"/>
    </xf>
    <xf numFmtId="0" fontId="1" fillId="3" borderId="48"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0" fillId="3" borderId="48"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4" xfId="0" applyFont="1" applyFill="1" applyBorder="1" applyAlignment="1">
      <alignment horizontal="center" vertical="center"/>
    </xf>
  </cellXfs>
  <cellStyles count="82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1 2" xfId="52"/>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2" builtinId="3"/>
    <cellStyle name="Comma 2" xfId="45"/>
    <cellStyle name="Comma 2 2" xfId="818"/>
    <cellStyle name="Comma 2 2 2" xfId="824"/>
    <cellStyle name="Comma 2 3" xfId="816"/>
    <cellStyle name="Comma 2 3 2" xfId="823"/>
    <cellStyle name="Comma 2 4" xfId="53"/>
    <cellStyle name="Comma 2 5" xfId="825"/>
    <cellStyle name="Comma 3" xfId="815"/>
    <cellStyle name="Comma 4" xfId="820"/>
    <cellStyle name="Comma 5" xfId="822"/>
    <cellStyle name="Comma 6" xfId="826"/>
    <cellStyle name="etso_headingXLS" xfId="54"/>
    <cellStyle name="Explanatory Text" xfId="19" builtinId="53" customBuiltin="1"/>
    <cellStyle name="Good" xfId="9" builtinId="26" customBuiltin="1"/>
    <cellStyle name="Heading 1" xfId="5" builtinId="16" customBuiltin="1"/>
    <cellStyle name="Heading 1 2" xfId="55"/>
    <cellStyle name="Heading 2" xfId="6" builtinId="17" customBuiltin="1"/>
    <cellStyle name="Heading 3" xfId="7" builtinId="18" customBuiltin="1"/>
    <cellStyle name="Heading 4" xfId="8" builtinId="19" customBuiltin="1"/>
    <cellStyle name="Heading 4 2" xfId="56"/>
    <cellStyle name="Hyperlink" xfId="1" builtinId="8"/>
    <cellStyle name="Hyperlink 2" xfId="817"/>
    <cellStyle name="Input" xfId="12" builtinId="20" customBuiltin="1"/>
    <cellStyle name="Linked Cell" xfId="15" builtinId="24" customBuiltin="1"/>
    <cellStyle name="Neutral" xfId="11" builtinId="28" customBuiltin="1"/>
    <cellStyle name="Normal" xfId="0" builtinId="0"/>
    <cellStyle name="Normal 10" xfId="57"/>
    <cellStyle name="Normal 10 2" xfId="58"/>
    <cellStyle name="Normal 10 3" xfId="59"/>
    <cellStyle name="Normal 11" xfId="60"/>
    <cellStyle name="Normal 12" xfId="61"/>
    <cellStyle name="Normal 12 2" xfId="62"/>
    <cellStyle name="Normal 13" xfId="63"/>
    <cellStyle name="Normal 14" xfId="64"/>
    <cellStyle name="Normal 15" xfId="51"/>
    <cellStyle name="Normal 16" xfId="50"/>
    <cellStyle name="Normal 17" xfId="821"/>
    <cellStyle name="Normal 2" xfId="48"/>
    <cellStyle name="Normal 2 2" xfId="65"/>
    <cellStyle name="Normal 2 2 2" xfId="66"/>
    <cellStyle name="Normal 2 3" xfId="67"/>
    <cellStyle name="Normal 2 4" xfId="68"/>
    <cellStyle name="Normal 2 4 2" xfId="69"/>
    <cellStyle name="Normal 2 4 3" xfId="70"/>
    <cellStyle name="Normal 2 5" xfId="71"/>
    <cellStyle name="Normal 2 5 2" xfId="72"/>
    <cellStyle name="Normal 2 6" xfId="73"/>
    <cellStyle name="Normal 2 7" xfId="74"/>
    <cellStyle name="Normal 2 8" xfId="75"/>
    <cellStyle name="Normal 3" xfId="46"/>
    <cellStyle name="Normal 3 2" xfId="77"/>
    <cellStyle name="Normal 3 2 2" xfId="78"/>
    <cellStyle name="Normal 3 2 2 2" xfId="79"/>
    <cellStyle name="Normal 3 2 2 3" xfId="80"/>
    <cellStyle name="Normal 3 2 3" xfId="81"/>
    <cellStyle name="Normal 3 2 4" xfId="82"/>
    <cellStyle name="Normal 3 3" xfId="83"/>
    <cellStyle name="Normal 3 4" xfId="84"/>
    <cellStyle name="Normal 3 5" xfId="76"/>
    <cellStyle name="Normal 4" xfId="85"/>
    <cellStyle name="Normal 5" xfId="86"/>
    <cellStyle name="Normal 5 2" xfId="87"/>
    <cellStyle name="Normal 5 2 2" xfId="88"/>
    <cellStyle name="Normal 5 3" xfId="89"/>
    <cellStyle name="Normal 5 4" xfId="90"/>
    <cellStyle name="Normal 5 5" xfId="819"/>
    <cellStyle name="Normal 6" xfId="91"/>
    <cellStyle name="Normal 6 2" xfId="92"/>
    <cellStyle name="Normal 6 2 2" xfId="93"/>
    <cellStyle name="Normal 6 3" xfId="94"/>
    <cellStyle name="Normal 7" xfId="47"/>
    <cellStyle name="Normal 7 2" xfId="96"/>
    <cellStyle name="Normal 7 2 2" xfId="97"/>
    <cellStyle name="Normal 7 3" xfId="98"/>
    <cellStyle name="Normal 7 4" xfId="99"/>
    <cellStyle name="Normal 7 5" xfId="95"/>
    <cellStyle name="Normal 8" xfId="100"/>
    <cellStyle name="Normal 8 2" xfId="101"/>
    <cellStyle name="Normal 8 2 2" xfId="102"/>
    <cellStyle name="Normal 8 3" xfId="103"/>
    <cellStyle name="Normal 8 4" xfId="104"/>
    <cellStyle name="Normal 9" xfId="105"/>
    <cellStyle name="Normal 9 2" xfId="106"/>
    <cellStyle name="Normal 9 2 2" xfId="107"/>
    <cellStyle name="Normal 9 3" xfId="108"/>
    <cellStyle name="Normal 9 4" xfId="109"/>
    <cellStyle name="Normale 2" xfId="110"/>
    <cellStyle name="Note" xfId="18" builtinId="10" customBuiltin="1"/>
    <cellStyle name="Output" xfId="13" builtinId="21" customBuiltin="1"/>
    <cellStyle name="Percent" xfId="3" builtinId="5"/>
    <cellStyle name="Percent 2" xfId="49"/>
    <cellStyle name="Percent 2 2" xfId="111"/>
    <cellStyle name="Standaard_NodeInfo_3" xfId="112"/>
    <cellStyle name="Standard_Data provided by OT3" xfId="814"/>
    <cellStyle name="Style 100" xfId="113"/>
    <cellStyle name="Style 101" xfId="114"/>
    <cellStyle name="Style 102" xfId="115"/>
    <cellStyle name="Style 103" xfId="116"/>
    <cellStyle name="Style 104" xfId="117"/>
    <cellStyle name="Style 104 2" xfId="118"/>
    <cellStyle name="Style 104 2 2" xfId="119"/>
    <cellStyle name="Style 104 2 3" xfId="120"/>
    <cellStyle name="Style 105" xfId="121"/>
    <cellStyle name="Style 105 2" xfId="122"/>
    <cellStyle name="Style 105 2 2" xfId="123"/>
    <cellStyle name="Style 105 2 3" xfId="124"/>
    <cellStyle name="Style 106" xfId="125"/>
    <cellStyle name="Style 106 2" xfId="126"/>
    <cellStyle name="Style 106 2 2" xfId="127"/>
    <cellStyle name="Style 106 2 3" xfId="128"/>
    <cellStyle name="Style 107" xfId="129"/>
    <cellStyle name="Style 107 2" xfId="130"/>
    <cellStyle name="Style 107 2 2" xfId="131"/>
    <cellStyle name="Style 107 2 3" xfId="132"/>
    <cellStyle name="Style 108" xfId="133"/>
    <cellStyle name="Style 108 2" xfId="134"/>
    <cellStyle name="Style 108 2 2" xfId="135"/>
    <cellStyle name="Style 108 2 3" xfId="136"/>
    <cellStyle name="Style 109" xfId="137"/>
    <cellStyle name="Style 109 2" xfId="138"/>
    <cellStyle name="Style 109 2 2" xfId="139"/>
    <cellStyle name="Style 109 2 3" xfId="140"/>
    <cellStyle name="Style 110" xfId="141"/>
    <cellStyle name="Style 110 2" xfId="142"/>
    <cellStyle name="Style 110 2 2" xfId="143"/>
    <cellStyle name="Style 110 2 3" xfId="144"/>
    <cellStyle name="Style 111" xfId="145"/>
    <cellStyle name="Style 111 2" xfId="146"/>
    <cellStyle name="Style 111 2 2" xfId="147"/>
    <cellStyle name="Style 111 2 3" xfId="148"/>
    <cellStyle name="Style 112" xfId="149"/>
    <cellStyle name="Style 112 2" xfId="150"/>
    <cellStyle name="Style 112 2 2" xfId="151"/>
    <cellStyle name="Style 112 2 3" xfId="152"/>
    <cellStyle name="Style 113" xfId="153"/>
    <cellStyle name="Style 113 2" xfId="154"/>
    <cellStyle name="Style 113 2 2" xfId="155"/>
    <cellStyle name="Style 113 2 3" xfId="156"/>
    <cellStyle name="Style 114" xfId="157"/>
    <cellStyle name="Style 115" xfId="158"/>
    <cellStyle name="Style 116" xfId="159"/>
    <cellStyle name="Style 117" xfId="160"/>
    <cellStyle name="Style 118" xfId="161"/>
    <cellStyle name="Style 119" xfId="162"/>
    <cellStyle name="Style 120" xfId="163"/>
    <cellStyle name="Style 121" xfId="164"/>
    <cellStyle name="Style 121 2" xfId="165"/>
    <cellStyle name="Style 121 2 2" xfId="166"/>
    <cellStyle name="Style 121 2 3" xfId="167"/>
    <cellStyle name="Style 122" xfId="168"/>
    <cellStyle name="Style 122 2" xfId="169"/>
    <cellStyle name="Style 122 2 2" xfId="170"/>
    <cellStyle name="Style 122 2 3" xfId="171"/>
    <cellStyle name="Style 123" xfId="172"/>
    <cellStyle name="Style 123 2" xfId="173"/>
    <cellStyle name="Style 123 2 2" xfId="174"/>
    <cellStyle name="Style 123 2 3" xfId="175"/>
    <cellStyle name="Style 124" xfId="176"/>
    <cellStyle name="Style 124 2" xfId="177"/>
    <cellStyle name="Style 124 2 2" xfId="178"/>
    <cellStyle name="Style 124 2 3" xfId="179"/>
    <cellStyle name="Style 125" xfId="180"/>
    <cellStyle name="Style 125 2" xfId="181"/>
    <cellStyle name="Style 125 2 2" xfId="182"/>
    <cellStyle name="Style 125 2 3" xfId="183"/>
    <cellStyle name="Style 126" xfId="184"/>
    <cellStyle name="Style 126 2" xfId="185"/>
    <cellStyle name="Style 126 2 2" xfId="186"/>
    <cellStyle name="Style 126 2 3" xfId="187"/>
    <cellStyle name="Style 127" xfId="188"/>
    <cellStyle name="Style 127 2" xfId="189"/>
    <cellStyle name="Style 127 2 2" xfId="190"/>
    <cellStyle name="Style 127 2 3" xfId="191"/>
    <cellStyle name="Style 128" xfId="192"/>
    <cellStyle name="Style 128 2" xfId="193"/>
    <cellStyle name="Style 128 2 2" xfId="194"/>
    <cellStyle name="Style 128 2 3" xfId="195"/>
    <cellStyle name="Style 129" xfId="196"/>
    <cellStyle name="Style 129 2" xfId="197"/>
    <cellStyle name="Style 129 2 2" xfId="198"/>
    <cellStyle name="Style 129 2 3" xfId="199"/>
    <cellStyle name="Style 130" xfId="200"/>
    <cellStyle name="Style 130 2" xfId="201"/>
    <cellStyle name="Style 130 2 2" xfId="202"/>
    <cellStyle name="Style 130 2 3" xfId="203"/>
    <cellStyle name="Style 131" xfId="204"/>
    <cellStyle name="Style 132" xfId="205"/>
    <cellStyle name="Style 133" xfId="206"/>
    <cellStyle name="Style 134" xfId="207"/>
    <cellStyle name="Style 134 2" xfId="208"/>
    <cellStyle name="Style 135" xfId="209"/>
    <cellStyle name="Style 136" xfId="210"/>
    <cellStyle name="Style 137" xfId="211"/>
    <cellStyle name="Style 138" xfId="212"/>
    <cellStyle name="Style 139" xfId="213"/>
    <cellStyle name="Style 139 2" xfId="214"/>
    <cellStyle name="Style 139 2 2" xfId="215"/>
    <cellStyle name="Style 139 2 3" xfId="216"/>
    <cellStyle name="Style 140" xfId="217"/>
    <cellStyle name="Style 140 2" xfId="218"/>
    <cellStyle name="Style 140 2 2" xfId="219"/>
    <cellStyle name="Style 140 2 3" xfId="220"/>
    <cellStyle name="Style 141" xfId="221"/>
    <cellStyle name="Style 141 2" xfId="222"/>
    <cellStyle name="Style 141 2 2" xfId="223"/>
    <cellStyle name="Style 141 2 3" xfId="224"/>
    <cellStyle name="Style 142" xfId="225"/>
    <cellStyle name="Style 142 2" xfId="226"/>
    <cellStyle name="Style 142 3" xfId="227"/>
    <cellStyle name="Style 142 3 2" xfId="228"/>
    <cellStyle name="Style 142 3 3" xfId="229"/>
    <cellStyle name="Style 143" xfId="230"/>
    <cellStyle name="Style 143 2" xfId="231"/>
    <cellStyle name="Style 143 2 2" xfId="232"/>
    <cellStyle name="Style 143 2 3" xfId="233"/>
    <cellStyle name="Style 144" xfId="234"/>
    <cellStyle name="Style 144 2" xfId="235"/>
    <cellStyle name="Style 144 2 2" xfId="236"/>
    <cellStyle name="Style 144 2 3" xfId="237"/>
    <cellStyle name="Style 144 3" xfId="238"/>
    <cellStyle name="Style 144 4" xfId="239"/>
    <cellStyle name="Style 145" xfId="240"/>
    <cellStyle name="Style 145 2" xfId="241"/>
    <cellStyle name="Style 145 2 2" xfId="242"/>
    <cellStyle name="Style 145 2 3" xfId="243"/>
    <cellStyle name="Style 146" xfId="244"/>
    <cellStyle name="Style 146 2" xfId="245"/>
    <cellStyle name="Style 146 2 2" xfId="246"/>
    <cellStyle name="Style 146 2 3" xfId="247"/>
    <cellStyle name="Style 147" xfId="248"/>
    <cellStyle name="Style 147 2" xfId="249"/>
    <cellStyle name="Style 147 2 2" xfId="250"/>
    <cellStyle name="Style 147 2 3" xfId="251"/>
    <cellStyle name="Style 148" xfId="252"/>
    <cellStyle name="Style 148 2" xfId="253"/>
    <cellStyle name="Style 148 2 2" xfId="254"/>
    <cellStyle name="Style 148 2 3" xfId="255"/>
    <cellStyle name="Style 149" xfId="256"/>
    <cellStyle name="Style 150" xfId="257"/>
    <cellStyle name="Style 151" xfId="258"/>
    <cellStyle name="Style 152" xfId="259"/>
    <cellStyle name="Style 153" xfId="260"/>
    <cellStyle name="Style 154" xfId="261"/>
    <cellStyle name="Style 155" xfId="262"/>
    <cellStyle name="Style 156" xfId="263"/>
    <cellStyle name="Style 157" xfId="264"/>
    <cellStyle name="Style 157 2" xfId="265"/>
    <cellStyle name="Style 157 2 2" xfId="266"/>
    <cellStyle name="Style 157 2 3" xfId="267"/>
    <cellStyle name="Style 158" xfId="268"/>
    <cellStyle name="Style 158 2" xfId="269"/>
    <cellStyle name="Style 158 2 2" xfId="270"/>
    <cellStyle name="Style 158 2 3" xfId="271"/>
    <cellStyle name="Style 159" xfId="272"/>
    <cellStyle name="Style 159 2" xfId="273"/>
    <cellStyle name="Style 159 2 2" xfId="274"/>
    <cellStyle name="Style 159 2 3" xfId="275"/>
    <cellStyle name="Style 160" xfId="276"/>
    <cellStyle name="Style 160 2" xfId="277"/>
    <cellStyle name="Style 160 2 2" xfId="278"/>
    <cellStyle name="Style 160 2 3" xfId="279"/>
    <cellStyle name="Style 161" xfId="280"/>
    <cellStyle name="Style 161 2" xfId="281"/>
    <cellStyle name="Style 161 2 2" xfId="282"/>
    <cellStyle name="Style 161 2 3" xfId="283"/>
    <cellStyle name="Style 162" xfId="284"/>
    <cellStyle name="Style 162 2" xfId="285"/>
    <cellStyle name="Style 162 2 2" xfId="286"/>
    <cellStyle name="Style 162 2 3" xfId="287"/>
    <cellStyle name="Style 163" xfId="288"/>
    <cellStyle name="Style 163 2" xfId="289"/>
    <cellStyle name="Style 163 2 2" xfId="290"/>
    <cellStyle name="Style 163 2 3" xfId="291"/>
    <cellStyle name="Style 164" xfId="292"/>
    <cellStyle name="Style 164 2" xfId="293"/>
    <cellStyle name="Style 164 2 2" xfId="294"/>
    <cellStyle name="Style 164 2 3" xfId="295"/>
    <cellStyle name="Style 165" xfId="296"/>
    <cellStyle name="Style 165 2" xfId="297"/>
    <cellStyle name="Style 165 3" xfId="298"/>
    <cellStyle name="Style 165 3 2" xfId="299"/>
    <cellStyle name="Style 165 3 3" xfId="300"/>
    <cellStyle name="Style 166" xfId="301"/>
    <cellStyle name="Style 166 2" xfId="302"/>
    <cellStyle name="Style 166 3" xfId="303"/>
    <cellStyle name="Style 166 3 2" xfId="304"/>
    <cellStyle name="Style 166 3 3" xfId="305"/>
    <cellStyle name="Style 167" xfId="306"/>
    <cellStyle name="Style 167 2" xfId="307"/>
    <cellStyle name="Style 168" xfId="308"/>
    <cellStyle name="Style 168 2" xfId="309"/>
    <cellStyle name="Style 169" xfId="310"/>
    <cellStyle name="Style 170" xfId="311"/>
    <cellStyle name="Style 171" xfId="312"/>
    <cellStyle name="Style 171 2" xfId="313"/>
    <cellStyle name="Style 171 3" xfId="314"/>
    <cellStyle name="Style 171 4" xfId="315"/>
    <cellStyle name="Style 172" xfId="316"/>
    <cellStyle name="Style 173" xfId="317"/>
    <cellStyle name="Style 174" xfId="318"/>
    <cellStyle name="Style 175" xfId="319"/>
    <cellStyle name="Style 175 2" xfId="320"/>
    <cellStyle name="Style 175 3" xfId="321"/>
    <cellStyle name="Style 176" xfId="322"/>
    <cellStyle name="Style 176 2" xfId="323"/>
    <cellStyle name="Style 176 3" xfId="324"/>
    <cellStyle name="Style 177" xfId="325"/>
    <cellStyle name="Style 177 2" xfId="326"/>
    <cellStyle name="Style 177 2 2" xfId="327"/>
    <cellStyle name="Style 177 2 3" xfId="328"/>
    <cellStyle name="Style 178" xfId="329"/>
    <cellStyle name="Style 178 2" xfId="330"/>
    <cellStyle name="Style 178 2 2" xfId="331"/>
    <cellStyle name="Style 178 2 3" xfId="332"/>
    <cellStyle name="Style 179" xfId="333"/>
    <cellStyle name="Style 179 2" xfId="334"/>
    <cellStyle name="Style 179 2 2" xfId="335"/>
    <cellStyle name="Style 179 2 3" xfId="336"/>
    <cellStyle name="Style 180" xfId="337"/>
    <cellStyle name="Style 180 2" xfId="338"/>
    <cellStyle name="Style 180 2 2" xfId="339"/>
    <cellStyle name="Style 180 2 3" xfId="340"/>
    <cellStyle name="Style 181" xfId="341"/>
    <cellStyle name="Style 181 2" xfId="342"/>
    <cellStyle name="Style 181 2 2" xfId="343"/>
    <cellStyle name="Style 181 2 3" xfId="344"/>
    <cellStyle name="Style 182" xfId="345"/>
    <cellStyle name="Style 182 2" xfId="346"/>
    <cellStyle name="Style 182 2 2" xfId="347"/>
    <cellStyle name="Style 182 2 3" xfId="348"/>
    <cellStyle name="Style 183" xfId="349"/>
    <cellStyle name="Style 183 2" xfId="350"/>
    <cellStyle name="Style 183 2 2" xfId="351"/>
    <cellStyle name="Style 183 2 3" xfId="352"/>
    <cellStyle name="Style 184" xfId="353"/>
    <cellStyle name="Style 184 2" xfId="354"/>
    <cellStyle name="Style 184 2 2" xfId="355"/>
    <cellStyle name="Style 184 2 3" xfId="356"/>
    <cellStyle name="Style 185" xfId="357"/>
    <cellStyle name="Style 186" xfId="358"/>
    <cellStyle name="Style 187" xfId="359"/>
    <cellStyle name="Style 188" xfId="360"/>
    <cellStyle name="Style 189" xfId="361"/>
    <cellStyle name="Style 190" xfId="362"/>
    <cellStyle name="Style 191" xfId="363"/>
    <cellStyle name="Style 193" xfId="364"/>
    <cellStyle name="Style 193 2" xfId="365"/>
    <cellStyle name="Style 193 3" xfId="366"/>
    <cellStyle name="Style 194" xfId="367"/>
    <cellStyle name="Style 194 2" xfId="368"/>
    <cellStyle name="Style 194 3" xfId="369"/>
    <cellStyle name="Style 195" xfId="370"/>
    <cellStyle name="Style 195 2" xfId="371"/>
    <cellStyle name="Style 195 2 2" xfId="372"/>
    <cellStyle name="Style 195 2 3" xfId="373"/>
    <cellStyle name="Style 196" xfId="374"/>
    <cellStyle name="Style 196 2" xfId="375"/>
    <cellStyle name="Style 196 2 2" xfId="376"/>
    <cellStyle name="Style 196 2 3" xfId="377"/>
    <cellStyle name="Style 197" xfId="378"/>
    <cellStyle name="Style 197 2" xfId="379"/>
    <cellStyle name="Style 197 2 2" xfId="380"/>
    <cellStyle name="Style 197 2 3" xfId="381"/>
    <cellStyle name="Style 198" xfId="382"/>
    <cellStyle name="Style 198 2" xfId="383"/>
    <cellStyle name="Style 198 2 2" xfId="384"/>
    <cellStyle name="Style 198 2 3" xfId="385"/>
    <cellStyle name="Style 199" xfId="386"/>
    <cellStyle name="Style 199 2" xfId="387"/>
    <cellStyle name="Style 199 2 2" xfId="388"/>
    <cellStyle name="Style 199 2 3" xfId="389"/>
    <cellStyle name="Style 200" xfId="390"/>
    <cellStyle name="Style 200 2" xfId="391"/>
    <cellStyle name="Style 200 2 2" xfId="392"/>
    <cellStyle name="Style 200 2 3" xfId="393"/>
    <cellStyle name="Style 201" xfId="394"/>
    <cellStyle name="Style 201 2" xfId="395"/>
    <cellStyle name="Style 201 2 2" xfId="396"/>
    <cellStyle name="Style 201 2 3" xfId="397"/>
    <cellStyle name="Style 202" xfId="398"/>
    <cellStyle name="Style 202 2" xfId="399"/>
    <cellStyle name="Style 202 2 2" xfId="400"/>
    <cellStyle name="Style 202 2 3" xfId="401"/>
    <cellStyle name="Style 203" xfId="402"/>
    <cellStyle name="Style 204" xfId="403"/>
    <cellStyle name="Style 209" xfId="404"/>
    <cellStyle name="Style 21" xfId="405"/>
    <cellStyle name="Style 21 2" xfId="406"/>
    <cellStyle name="Style 21 2 2" xfId="407"/>
    <cellStyle name="Style 21 2 3" xfId="408"/>
    <cellStyle name="Style 21_PEMMDB2014-2030-Vision 1-BTC" xfId="409"/>
    <cellStyle name="Style 210" xfId="410"/>
    <cellStyle name="Style 211" xfId="411"/>
    <cellStyle name="Style 212" xfId="412"/>
    <cellStyle name="Style 213" xfId="413"/>
    <cellStyle name="Style 214" xfId="414"/>
    <cellStyle name="Style 215" xfId="415"/>
    <cellStyle name="Style 22" xfId="416"/>
    <cellStyle name="Style 22 2" xfId="417"/>
    <cellStyle name="Style 22 2 2" xfId="418"/>
    <cellStyle name="Style 22 2 3" xfId="419"/>
    <cellStyle name="Style 22 3" xfId="420"/>
    <cellStyle name="Style 221" xfId="421"/>
    <cellStyle name="Style 222" xfId="422"/>
    <cellStyle name="Style 223" xfId="423"/>
    <cellStyle name="Style 224" xfId="424"/>
    <cellStyle name="Style 225" xfId="425"/>
    <cellStyle name="Style 226" xfId="426"/>
    <cellStyle name="Style 227" xfId="427"/>
    <cellStyle name="Style 23" xfId="428"/>
    <cellStyle name="Style 23 2" xfId="429"/>
    <cellStyle name="Style 23 2 2" xfId="430"/>
    <cellStyle name="Style 23 2 3" xfId="431"/>
    <cellStyle name="Style 23 3" xfId="432"/>
    <cellStyle name="Style 234" xfId="433"/>
    <cellStyle name="Style 235" xfId="434"/>
    <cellStyle name="Style 236" xfId="435"/>
    <cellStyle name="Style 237" xfId="436"/>
    <cellStyle name="Style 238" xfId="437"/>
    <cellStyle name="Style 239" xfId="438"/>
    <cellStyle name="Style 24" xfId="439"/>
    <cellStyle name="Style 24 2" xfId="440"/>
    <cellStyle name="Style 24 2 2" xfId="441"/>
    <cellStyle name="Style 24 2 3" xfId="442"/>
    <cellStyle name="Style 24 3" xfId="443"/>
    <cellStyle name="Style 240" xfId="444"/>
    <cellStyle name="Style 247" xfId="445"/>
    <cellStyle name="Style 248" xfId="446"/>
    <cellStyle name="Style 249" xfId="447"/>
    <cellStyle name="Style 25" xfId="448"/>
    <cellStyle name="Style 25 2" xfId="449"/>
    <cellStyle name="Style 25 2 2" xfId="450"/>
    <cellStyle name="Style 25 2 3" xfId="451"/>
    <cellStyle name="Style 25_PEMMDB2014-2030-Vision 1-BTC" xfId="452"/>
    <cellStyle name="Style 250" xfId="453"/>
    <cellStyle name="Style 251" xfId="454"/>
    <cellStyle name="Style 252" xfId="455"/>
    <cellStyle name="Style 253" xfId="456"/>
    <cellStyle name="Style 259" xfId="457"/>
    <cellStyle name="Style 26" xfId="458"/>
    <cellStyle name="Style 26 2" xfId="459"/>
    <cellStyle name="Style 26 2 2" xfId="460"/>
    <cellStyle name="Style 26 2 3" xfId="461"/>
    <cellStyle name="Style 260" xfId="462"/>
    <cellStyle name="Style 261" xfId="463"/>
    <cellStyle name="Style 262" xfId="464"/>
    <cellStyle name="Style 263" xfId="465"/>
    <cellStyle name="Style 264" xfId="466"/>
    <cellStyle name="Style 265" xfId="467"/>
    <cellStyle name="Style 27" xfId="468"/>
    <cellStyle name="Style 27 2" xfId="469"/>
    <cellStyle name="Style 27 2 2" xfId="470"/>
    <cellStyle name="Style 27 2 3" xfId="471"/>
    <cellStyle name="Style 271" xfId="472"/>
    <cellStyle name="Style 272" xfId="473"/>
    <cellStyle name="Style 273" xfId="474"/>
    <cellStyle name="Style 274" xfId="475"/>
    <cellStyle name="Style 275" xfId="476"/>
    <cellStyle name="Style 276" xfId="477"/>
    <cellStyle name="Style 277" xfId="478"/>
    <cellStyle name="Style 28" xfId="479"/>
    <cellStyle name="Style 28 2" xfId="480"/>
    <cellStyle name="Style 28 2 2" xfId="481"/>
    <cellStyle name="Style 28 2 3" xfId="482"/>
    <cellStyle name="Style 283" xfId="483"/>
    <cellStyle name="Style 284" xfId="484"/>
    <cellStyle name="Style 285" xfId="485"/>
    <cellStyle name="Style 286" xfId="486"/>
    <cellStyle name="Style 287" xfId="487"/>
    <cellStyle name="Style 288" xfId="488"/>
    <cellStyle name="Style 289" xfId="489"/>
    <cellStyle name="Style 29" xfId="490"/>
    <cellStyle name="Style 29 2" xfId="491"/>
    <cellStyle name="Style 29 2 2" xfId="492"/>
    <cellStyle name="Style 29 2 3" xfId="493"/>
    <cellStyle name="Style 295" xfId="494"/>
    <cellStyle name="Style 296" xfId="495"/>
    <cellStyle name="Style 297" xfId="496"/>
    <cellStyle name="Style 298" xfId="497"/>
    <cellStyle name="Style 299" xfId="498"/>
    <cellStyle name="Style 30" xfId="499"/>
    <cellStyle name="Style 30 2" xfId="500"/>
    <cellStyle name="Style 30 2 2" xfId="501"/>
    <cellStyle name="Style 30 2 3" xfId="502"/>
    <cellStyle name="Style 300" xfId="503"/>
    <cellStyle name="Style 301" xfId="504"/>
    <cellStyle name="Style 308" xfId="505"/>
    <cellStyle name="Style 309" xfId="506"/>
    <cellStyle name="Style 310" xfId="507"/>
    <cellStyle name="Style 311" xfId="508"/>
    <cellStyle name="Style 312" xfId="509"/>
    <cellStyle name="Style 313" xfId="510"/>
    <cellStyle name="Style 314" xfId="511"/>
    <cellStyle name="Style 320" xfId="512"/>
    <cellStyle name="Style 321" xfId="513"/>
    <cellStyle name="Style 322" xfId="514"/>
    <cellStyle name="Style 323" xfId="515"/>
    <cellStyle name="Style 324" xfId="516"/>
    <cellStyle name="Style 325" xfId="517"/>
    <cellStyle name="Style 326" xfId="518"/>
    <cellStyle name="Style 333" xfId="519"/>
    <cellStyle name="Style 334" xfId="520"/>
    <cellStyle name="Style 335" xfId="521"/>
    <cellStyle name="Style 336" xfId="522"/>
    <cellStyle name="Style 337" xfId="523"/>
    <cellStyle name="Style 338" xfId="524"/>
    <cellStyle name="Style 339" xfId="525"/>
    <cellStyle name="Style 34" xfId="526"/>
    <cellStyle name="Style 346" xfId="527"/>
    <cellStyle name="Style 347" xfId="528"/>
    <cellStyle name="Style 348" xfId="529"/>
    <cellStyle name="Style 349" xfId="530"/>
    <cellStyle name="Style 35" xfId="531"/>
    <cellStyle name="Style 350" xfId="532"/>
    <cellStyle name="Style 351" xfId="533"/>
    <cellStyle name="Style 352" xfId="534"/>
    <cellStyle name="Style 359" xfId="535"/>
    <cellStyle name="Style 36" xfId="536"/>
    <cellStyle name="Style 360" xfId="537"/>
    <cellStyle name="Style 361" xfId="538"/>
    <cellStyle name="Style 362" xfId="539"/>
    <cellStyle name="Style 363" xfId="540"/>
    <cellStyle name="Style 364" xfId="541"/>
    <cellStyle name="Style 365" xfId="542"/>
    <cellStyle name="Style 37" xfId="543"/>
    <cellStyle name="Style 371" xfId="544"/>
    <cellStyle name="Style 372" xfId="545"/>
    <cellStyle name="Style 373" xfId="546"/>
    <cellStyle name="Style 374" xfId="547"/>
    <cellStyle name="Style 375" xfId="548"/>
    <cellStyle name="Style 376" xfId="549"/>
    <cellStyle name="Style 377" xfId="550"/>
    <cellStyle name="Style 38" xfId="551"/>
    <cellStyle name="Style 38 2" xfId="552"/>
    <cellStyle name="Style 38 2 2" xfId="553"/>
    <cellStyle name="Style 38 2 3" xfId="554"/>
    <cellStyle name="Style 383" xfId="555"/>
    <cellStyle name="Style 384" xfId="556"/>
    <cellStyle name="Style 385" xfId="557"/>
    <cellStyle name="Style 386" xfId="558"/>
    <cellStyle name="Style 387" xfId="559"/>
    <cellStyle name="Style 388" xfId="560"/>
    <cellStyle name="Style 389" xfId="561"/>
    <cellStyle name="Style 39" xfId="562"/>
    <cellStyle name="Style 39 2" xfId="563"/>
    <cellStyle name="Style 39 2 2" xfId="564"/>
    <cellStyle name="Style 39 2 3" xfId="565"/>
    <cellStyle name="Style 395" xfId="566"/>
    <cellStyle name="Style 396" xfId="567"/>
    <cellStyle name="Style 397" xfId="568"/>
    <cellStyle name="Style 398" xfId="569"/>
    <cellStyle name="Style 399" xfId="570"/>
    <cellStyle name="Style 40" xfId="571"/>
    <cellStyle name="Style 40 2" xfId="572"/>
    <cellStyle name="Style 40 2 2" xfId="573"/>
    <cellStyle name="Style 40 2 3" xfId="574"/>
    <cellStyle name="Style 400" xfId="575"/>
    <cellStyle name="Style 401" xfId="576"/>
    <cellStyle name="Style 408" xfId="577"/>
    <cellStyle name="Style 409" xfId="578"/>
    <cellStyle name="Style 41" xfId="579"/>
    <cellStyle name="Style 41 2" xfId="580"/>
    <cellStyle name="Style 41 2 2" xfId="581"/>
    <cellStyle name="Style 41 2 3" xfId="582"/>
    <cellStyle name="Style 410" xfId="583"/>
    <cellStyle name="Style 411" xfId="584"/>
    <cellStyle name="Style 412" xfId="585"/>
    <cellStyle name="Style 413" xfId="586"/>
    <cellStyle name="Style 414" xfId="587"/>
    <cellStyle name="Style 42" xfId="588"/>
    <cellStyle name="Style 42 2" xfId="589"/>
    <cellStyle name="Style 42 2 2" xfId="590"/>
    <cellStyle name="Style 42 2 3" xfId="591"/>
    <cellStyle name="Style 421" xfId="592"/>
    <cellStyle name="Style 422" xfId="593"/>
    <cellStyle name="Style 423" xfId="594"/>
    <cellStyle name="Style 424" xfId="595"/>
    <cellStyle name="Style 425" xfId="596"/>
    <cellStyle name="Style 426" xfId="597"/>
    <cellStyle name="Style 427" xfId="598"/>
    <cellStyle name="Style 43" xfId="599"/>
    <cellStyle name="Style 43 2" xfId="600"/>
    <cellStyle name="Style 43 2 2" xfId="601"/>
    <cellStyle name="Style 43 2 3" xfId="602"/>
    <cellStyle name="Style 434" xfId="603"/>
    <cellStyle name="Style 435" xfId="604"/>
    <cellStyle name="Style 436" xfId="605"/>
    <cellStyle name="Style 437" xfId="606"/>
    <cellStyle name="Style 438" xfId="607"/>
    <cellStyle name="Style 439" xfId="608"/>
    <cellStyle name="Style 44" xfId="609"/>
    <cellStyle name="Style 44 2" xfId="610"/>
    <cellStyle name="Style 44 2 2" xfId="611"/>
    <cellStyle name="Style 44 2 3" xfId="612"/>
    <cellStyle name="Style 440" xfId="613"/>
    <cellStyle name="Style 447" xfId="614"/>
    <cellStyle name="Style 448" xfId="615"/>
    <cellStyle name="Style 449" xfId="616"/>
    <cellStyle name="Style 45" xfId="617"/>
    <cellStyle name="Style 45 2" xfId="618"/>
    <cellStyle name="Style 45 2 2" xfId="619"/>
    <cellStyle name="Style 45 2 3" xfId="620"/>
    <cellStyle name="Style 450" xfId="621"/>
    <cellStyle name="Style 451" xfId="622"/>
    <cellStyle name="Style 452" xfId="623"/>
    <cellStyle name="Style 453" xfId="624"/>
    <cellStyle name="Style 459" xfId="625"/>
    <cellStyle name="Style 46" xfId="626"/>
    <cellStyle name="Style 46 2" xfId="627"/>
    <cellStyle name="Style 46 2 2" xfId="628"/>
    <cellStyle name="Style 46 2 3" xfId="629"/>
    <cellStyle name="Style 460" xfId="630"/>
    <cellStyle name="Style 461" xfId="631"/>
    <cellStyle name="Style 462" xfId="632"/>
    <cellStyle name="Style 463" xfId="633"/>
    <cellStyle name="Style 464" xfId="634"/>
    <cellStyle name="Style 465" xfId="635"/>
    <cellStyle name="Style 47" xfId="636"/>
    <cellStyle name="Style 47 2" xfId="637"/>
    <cellStyle name="Style 47 2 2" xfId="638"/>
    <cellStyle name="Style 47 2 3" xfId="639"/>
    <cellStyle name="Style 471" xfId="640"/>
    <cellStyle name="Style 472" xfId="641"/>
    <cellStyle name="Style 473" xfId="642"/>
    <cellStyle name="Style 474" xfId="643"/>
    <cellStyle name="Style 475" xfId="644"/>
    <cellStyle name="Style 476" xfId="645"/>
    <cellStyle name="Style 477" xfId="646"/>
    <cellStyle name="Style 48" xfId="647"/>
    <cellStyle name="Style 483" xfId="648"/>
    <cellStyle name="Style 484" xfId="649"/>
    <cellStyle name="Style 485" xfId="650"/>
    <cellStyle name="Style 486" xfId="651"/>
    <cellStyle name="Style 487" xfId="652"/>
    <cellStyle name="Style 488" xfId="653"/>
    <cellStyle name="Style 489" xfId="654"/>
    <cellStyle name="Style 49" xfId="655"/>
    <cellStyle name="Style 496" xfId="656"/>
    <cellStyle name="Style 497" xfId="657"/>
    <cellStyle name="Style 498" xfId="658"/>
    <cellStyle name="Style 499" xfId="659"/>
    <cellStyle name="Style 50" xfId="660"/>
    <cellStyle name="Style 500" xfId="661"/>
    <cellStyle name="Style 501" xfId="662"/>
    <cellStyle name="Style 502" xfId="663"/>
    <cellStyle name="Style 508" xfId="664"/>
    <cellStyle name="Style 509" xfId="665"/>
    <cellStyle name="Style 51" xfId="666"/>
    <cellStyle name="Style 510" xfId="667"/>
    <cellStyle name="Style 511" xfId="668"/>
    <cellStyle name="Style 512" xfId="669"/>
    <cellStyle name="Style 513" xfId="670"/>
    <cellStyle name="Style 514" xfId="671"/>
    <cellStyle name="Style 52" xfId="672"/>
    <cellStyle name="Style 520" xfId="673"/>
    <cellStyle name="Style 521" xfId="674"/>
    <cellStyle name="Style 522" xfId="675"/>
    <cellStyle name="Style 523" xfId="676"/>
    <cellStyle name="Style 524" xfId="677"/>
    <cellStyle name="Style 525" xfId="678"/>
    <cellStyle name="Style 526" xfId="679"/>
    <cellStyle name="Style 53" xfId="680"/>
    <cellStyle name="Style 53 2" xfId="681"/>
    <cellStyle name="Style 53 2 2" xfId="682"/>
    <cellStyle name="Style 53 2 3" xfId="683"/>
    <cellStyle name="Style 54" xfId="684"/>
    <cellStyle name="Style 54 2" xfId="685"/>
    <cellStyle name="Style 54 2 2" xfId="686"/>
    <cellStyle name="Style 54 2 3" xfId="687"/>
    <cellStyle name="Style 55" xfId="688"/>
    <cellStyle name="Style 55 2" xfId="689"/>
    <cellStyle name="Style 55 2 2" xfId="690"/>
    <cellStyle name="Style 55 2 3" xfId="691"/>
    <cellStyle name="Style 56" xfId="692"/>
    <cellStyle name="Style 56 2" xfId="693"/>
    <cellStyle name="Style 56 2 2" xfId="694"/>
    <cellStyle name="Style 56 2 3" xfId="695"/>
    <cellStyle name="Style 57" xfId="696"/>
    <cellStyle name="Style 57 2" xfId="697"/>
    <cellStyle name="Style 57 2 2" xfId="698"/>
    <cellStyle name="Style 57 2 3" xfId="699"/>
    <cellStyle name="Style 58" xfId="700"/>
    <cellStyle name="Style 58 2" xfId="701"/>
    <cellStyle name="Style 58 2 2" xfId="702"/>
    <cellStyle name="Style 58 2 3" xfId="703"/>
    <cellStyle name="Style 59" xfId="704"/>
    <cellStyle name="Style 59 2" xfId="705"/>
    <cellStyle name="Style 59 2 2" xfId="706"/>
    <cellStyle name="Style 60" xfId="707"/>
    <cellStyle name="Style 60 2" xfId="708"/>
    <cellStyle name="Style 60 2 2" xfId="709"/>
    <cellStyle name="Style 60 2 3" xfId="710"/>
    <cellStyle name="Style 61" xfId="711"/>
    <cellStyle name="Style 61 2" xfId="712"/>
    <cellStyle name="Style 61 2 2" xfId="713"/>
    <cellStyle name="Style 61 2 3" xfId="714"/>
    <cellStyle name="Style 62" xfId="715"/>
    <cellStyle name="Style 62 2" xfId="716"/>
    <cellStyle name="Style 62 2 2" xfId="717"/>
    <cellStyle name="Style 62 2 3" xfId="718"/>
    <cellStyle name="Style 63" xfId="719"/>
    <cellStyle name="Style 64" xfId="720"/>
    <cellStyle name="Style 65" xfId="721"/>
    <cellStyle name="Style 67" xfId="722"/>
    <cellStyle name="Style 68" xfId="723"/>
    <cellStyle name="Style 69" xfId="724"/>
    <cellStyle name="Style 70" xfId="725"/>
    <cellStyle name="Style 70 2" xfId="726"/>
    <cellStyle name="Style 70 2 2" xfId="727"/>
    <cellStyle name="Style 70 2 3" xfId="728"/>
    <cellStyle name="Style 71" xfId="729"/>
    <cellStyle name="Style 71 2" xfId="730"/>
    <cellStyle name="Style 71 2 2" xfId="731"/>
    <cellStyle name="Style 71 2 3" xfId="732"/>
    <cellStyle name="Style 72" xfId="733"/>
    <cellStyle name="Style 72 2" xfId="734"/>
    <cellStyle name="Style 72 2 2" xfId="735"/>
    <cellStyle name="Style 72 2 3" xfId="736"/>
    <cellStyle name="Style 73" xfId="737"/>
    <cellStyle name="Style 73 2" xfId="738"/>
    <cellStyle name="Style 73 2 2" xfId="739"/>
    <cellStyle name="Style 73 2 3" xfId="740"/>
    <cellStyle name="Style 74" xfId="741"/>
    <cellStyle name="Style 74 2" xfId="742"/>
    <cellStyle name="Style 74 2 2" xfId="743"/>
    <cellStyle name="Style 74 2 3" xfId="744"/>
    <cellStyle name="Style 75" xfId="745"/>
    <cellStyle name="Style 75 2" xfId="746"/>
    <cellStyle name="Style 75 2 2" xfId="747"/>
    <cellStyle name="Style 75 2 3" xfId="748"/>
    <cellStyle name="Style 76" xfId="749"/>
    <cellStyle name="Style 76 2" xfId="750"/>
    <cellStyle name="Style 76 2 2" xfId="751"/>
    <cellStyle name="Style 77" xfId="752"/>
    <cellStyle name="Style 77 2" xfId="753"/>
    <cellStyle name="Style 77 2 2" xfId="754"/>
    <cellStyle name="Style 77 2 3" xfId="755"/>
    <cellStyle name="Style 78" xfId="756"/>
    <cellStyle name="Style 78 2" xfId="757"/>
    <cellStyle name="Style 78 2 2" xfId="758"/>
    <cellStyle name="Style 78 2 3" xfId="759"/>
    <cellStyle name="Style 79" xfId="760"/>
    <cellStyle name="Style 79 2" xfId="761"/>
    <cellStyle name="Style 79 2 2" xfId="762"/>
    <cellStyle name="Style 79 2 3" xfId="763"/>
    <cellStyle name="Style 80" xfId="764"/>
    <cellStyle name="Style 81" xfId="765"/>
    <cellStyle name="Style 82" xfId="766"/>
    <cellStyle name="Style 83" xfId="767"/>
    <cellStyle name="Style 84" xfId="768"/>
    <cellStyle name="Style 85" xfId="769"/>
    <cellStyle name="Style 86" xfId="770"/>
    <cellStyle name="Style 87" xfId="771"/>
    <cellStyle name="Style 87 2" xfId="772"/>
    <cellStyle name="Style 87 2 2" xfId="773"/>
    <cellStyle name="Style 87 2 3" xfId="774"/>
    <cellStyle name="Style 88" xfId="775"/>
    <cellStyle name="Style 88 2" xfId="776"/>
    <cellStyle name="Style 88 2 2" xfId="777"/>
    <cellStyle name="Style 88 2 3" xfId="778"/>
    <cellStyle name="Style 89" xfId="779"/>
    <cellStyle name="Style 89 2" xfId="780"/>
    <cellStyle name="Style 89 2 2" xfId="781"/>
    <cellStyle name="Style 89 2 3" xfId="782"/>
    <cellStyle name="Style 90" xfId="783"/>
    <cellStyle name="Style 90 2" xfId="784"/>
    <cellStyle name="Style 90 2 2" xfId="785"/>
    <cellStyle name="Style 90 2 3" xfId="786"/>
    <cellStyle name="Style 91" xfId="787"/>
    <cellStyle name="Style 91 2" xfId="788"/>
    <cellStyle name="Style 91 2 2" xfId="789"/>
    <cellStyle name="Style 91 2 3" xfId="790"/>
    <cellStyle name="Style 92" xfId="791"/>
    <cellStyle name="Style 92 2" xfId="792"/>
    <cellStyle name="Style 92 2 2" xfId="793"/>
    <cellStyle name="Style 92 2 3" xfId="794"/>
    <cellStyle name="Style 93" xfId="795"/>
    <cellStyle name="Style 93 2" xfId="796"/>
    <cellStyle name="Style 93 2 2" xfId="797"/>
    <cellStyle name="Style 93 2 3" xfId="798"/>
    <cellStyle name="Style 94" xfId="799"/>
    <cellStyle name="Style 94 2" xfId="800"/>
    <cellStyle name="Style 94 2 2" xfId="801"/>
    <cellStyle name="Style 94 2 3" xfId="802"/>
    <cellStyle name="Style 95" xfId="803"/>
    <cellStyle name="Style 95 2" xfId="804"/>
    <cellStyle name="Style 95 2 2" xfId="805"/>
    <cellStyle name="Style 95 2 3" xfId="806"/>
    <cellStyle name="Style 96" xfId="807"/>
    <cellStyle name="Style 96 2" xfId="808"/>
    <cellStyle name="Style 96 2 2" xfId="809"/>
    <cellStyle name="Style 96 2 3" xfId="810"/>
    <cellStyle name="Style 97" xfId="811"/>
    <cellStyle name="Style 98" xfId="812"/>
    <cellStyle name="Style 99" xfId="813"/>
    <cellStyle name="Title" xfId="4" builtinId="15" customBuiltin="1"/>
    <cellStyle name="Total" xfId="20" builtinId="25" customBuiltin="1"/>
    <cellStyle name="Warning Text" xfId="17" builtinId="11" customBuiltin="1"/>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CC00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02640828952877"/>
          <c:y val="5.3709328022064441E-2"/>
          <c:w val="0.85546174268004294"/>
          <c:h val="0.73751984172515961"/>
        </c:manualLayout>
      </c:layout>
      <c:barChart>
        <c:barDir val="col"/>
        <c:grouping val="stacked"/>
        <c:varyColors val="0"/>
        <c:ser>
          <c:idx val="2"/>
          <c:order val="0"/>
          <c:tx>
            <c:strRef>
              <c:f>'1.2. Renewable and non-CIPU'!$C$9</c:f>
              <c:strCache>
                <c:ptCount val="1"/>
                <c:pt idx="0">
                  <c:v>Wind onshore</c:v>
                </c:pt>
              </c:strCache>
            </c:strRef>
          </c:tx>
          <c:spPr>
            <a:solidFill>
              <a:schemeClr val="accent5">
                <a:lumMod val="75000"/>
              </a:schemeClr>
            </a:solidFill>
          </c:spPr>
          <c:invertIfNegative val="0"/>
          <c:cat>
            <c:numRef>
              <c:f>'1.2. Renewable and non-CIPU'!$D$6:$Q$6</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'1.2. Renewable and non-CIPU'!$D$9:$Q$9</c:f>
              <c:numCache>
                <c:formatCode>_ * #,##0_ ;_ * \-#,##0_ ;_ * "-"??_ ;_ @_ </c:formatCode>
                <c:ptCount val="14"/>
                <c:pt idx="0">
                  <c:v>2726</c:v>
                </c:pt>
                <c:pt idx="1">
                  <c:v>3012</c:v>
                </c:pt>
                <c:pt idx="2">
                  <c:v>3298</c:v>
                </c:pt>
                <c:pt idx="3">
                  <c:v>3584</c:v>
                </c:pt>
                <c:pt idx="4">
                  <c:v>3870</c:v>
                </c:pt>
                <c:pt idx="5">
                  <c:v>4156</c:v>
                </c:pt>
                <c:pt idx="6">
                  <c:v>4442</c:v>
                </c:pt>
                <c:pt idx="7">
                  <c:v>4728</c:v>
                </c:pt>
                <c:pt idx="8">
                  <c:v>5014</c:v>
                </c:pt>
                <c:pt idx="9">
                  <c:v>5300</c:v>
                </c:pt>
                <c:pt idx="10">
                  <c:v>5586</c:v>
                </c:pt>
                <c:pt idx="11">
                  <c:v>5872</c:v>
                </c:pt>
                <c:pt idx="12">
                  <c:v>6158</c:v>
                </c:pt>
                <c:pt idx="13">
                  <c:v>6444</c:v>
                </c:pt>
              </c:numCache>
            </c:numRef>
          </c:val>
          <c:extLst>
            <c:ext xmlns:c16="http://schemas.microsoft.com/office/drawing/2014/chart" uri="{C3380CC4-5D6E-409C-BE32-E72D297353CC}">
              <c16:uniqueId val="{00000000-2166-4E37-A50A-BEC80D467627}"/>
            </c:ext>
          </c:extLst>
        </c:ser>
        <c:ser>
          <c:idx val="0"/>
          <c:order val="1"/>
          <c:tx>
            <c:strRef>
              <c:f>'1.2. Renewable and non-CIPU'!$C$10</c:f>
              <c:strCache>
                <c:ptCount val="1"/>
                <c:pt idx="0">
                  <c:v>Wind offshore</c:v>
                </c:pt>
              </c:strCache>
            </c:strRef>
          </c:tx>
          <c:spPr>
            <a:solidFill>
              <a:schemeClr val="accent5"/>
            </a:solidFill>
          </c:spPr>
          <c:invertIfNegative val="0"/>
          <c:cat>
            <c:numRef>
              <c:f>'1.2. Renewable and non-CIPU'!$D$6:$Q$6</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'1.2. Renewable and non-CIPU'!$D$10:$Q$10</c:f>
              <c:numCache>
                <c:formatCode>_ * #,##0_ ;_ * \-#,##0_ ;_ * "-"??_ ;_ @_ </c:formatCode>
                <c:ptCount val="14"/>
                <c:pt idx="0">
                  <c:v>2260</c:v>
                </c:pt>
                <c:pt idx="1">
                  <c:v>2260</c:v>
                </c:pt>
                <c:pt idx="2">
                  <c:v>2260</c:v>
                </c:pt>
                <c:pt idx="3">
                  <c:v>2260</c:v>
                </c:pt>
                <c:pt idx="4">
                  <c:v>2260</c:v>
                </c:pt>
                <c:pt idx="5">
                  <c:v>2260</c:v>
                </c:pt>
                <c:pt idx="6">
                  <c:v>2260</c:v>
                </c:pt>
                <c:pt idx="7">
                  <c:v>2960</c:v>
                </c:pt>
                <c:pt idx="8">
                  <c:v>2960</c:v>
                </c:pt>
                <c:pt idx="9">
                  <c:v>5760</c:v>
                </c:pt>
                <c:pt idx="10">
                  <c:v>5760</c:v>
                </c:pt>
                <c:pt idx="11">
                  <c:v>5760</c:v>
                </c:pt>
                <c:pt idx="12">
                  <c:v>5760</c:v>
                </c:pt>
                <c:pt idx="13">
                  <c:v>5760</c:v>
                </c:pt>
              </c:numCache>
            </c:numRef>
          </c:val>
          <c:extLst>
            <c:ext xmlns:c16="http://schemas.microsoft.com/office/drawing/2014/chart" uri="{C3380CC4-5D6E-409C-BE32-E72D297353CC}">
              <c16:uniqueId val="{00000001-2166-4E37-A50A-BEC80D467627}"/>
            </c:ext>
          </c:extLst>
        </c:ser>
        <c:ser>
          <c:idx val="4"/>
          <c:order val="2"/>
          <c:tx>
            <c:strRef>
              <c:f>'1.2. Renewable and non-CIPU'!$C$12</c:f>
              <c:strCache>
                <c:ptCount val="1"/>
                <c:pt idx="0">
                  <c:v>Photovoltaics</c:v>
                </c:pt>
              </c:strCache>
            </c:strRef>
          </c:tx>
          <c:spPr>
            <a:solidFill>
              <a:srgbClr val="FFC000"/>
            </a:solidFill>
          </c:spPr>
          <c:invertIfNegative val="0"/>
          <c:cat>
            <c:numRef>
              <c:f>'1.2. Renewable and non-CIPU'!$D$6:$Q$6</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'1.2. Renewable and non-CIPU'!$D$12:$Q$12</c:f>
              <c:numCache>
                <c:formatCode>_ * #,##0_ ;_ * \-#,##0_ ;_ * "-"??_ ;_ @_ </c:formatCode>
                <c:ptCount val="14"/>
                <c:pt idx="0">
                  <c:v>6300</c:v>
                </c:pt>
                <c:pt idx="1">
                  <c:v>7300</c:v>
                </c:pt>
                <c:pt idx="2">
                  <c:v>8300</c:v>
                </c:pt>
                <c:pt idx="3">
                  <c:v>9300</c:v>
                </c:pt>
                <c:pt idx="4">
                  <c:v>10100</c:v>
                </c:pt>
                <c:pt idx="5">
                  <c:v>10900</c:v>
                </c:pt>
                <c:pt idx="6">
                  <c:v>11700</c:v>
                </c:pt>
                <c:pt idx="7">
                  <c:v>12500</c:v>
                </c:pt>
                <c:pt idx="8">
                  <c:v>13300</c:v>
                </c:pt>
                <c:pt idx="9">
                  <c:v>14100</c:v>
                </c:pt>
                <c:pt idx="10">
                  <c:v>14900</c:v>
                </c:pt>
                <c:pt idx="11">
                  <c:v>15700</c:v>
                </c:pt>
                <c:pt idx="12">
                  <c:v>16500</c:v>
                </c:pt>
                <c:pt idx="13">
                  <c:v>17300</c:v>
                </c:pt>
              </c:numCache>
            </c:numRef>
          </c:val>
          <c:extLst>
            <c:ext xmlns:c16="http://schemas.microsoft.com/office/drawing/2014/chart" uri="{C3380CC4-5D6E-409C-BE32-E72D297353CC}">
              <c16:uniqueId val="{00000002-2166-4E37-A50A-BEC80D467627}"/>
            </c:ext>
          </c:extLst>
        </c:ser>
        <c:ser>
          <c:idx val="3"/>
          <c:order val="3"/>
          <c:tx>
            <c:strRef>
              <c:f>'1.2. Renewable and non-CIPU'!$C$20</c:f>
              <c:strCache>
                <c:ptCount val="1"/>
                <c:pt idx="0">
                  <c:v>Biomass - non-CIPU</c:v>
                </c:pt>
              </c:strCache>
            </c:strRef>
          </c:tx>
          <c:spPr>
            <a:solidFill>
              <a:srgbClr val="00B050"/>
            </a:solidFill>
          </c:spPr>
          <c:invertIfNegative val="0"/>
          <c:cat>
            <c:numRef>
              <c:f>'1.2. Renewable and non-CIPU'!$D$6:$Q$6</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'1.2. Renewable and non-CIPU'!$D$20:$Q$20</c:f>
              <c:numCache>
                <c:formatCode>_ * #,##0_ ;_ * \-#,##0_ ;_ * "-"??_ ;_ @_ </c:formatCode>
                <c:ptCount val="14"/>
                <c:pt idx="0">
                  <c:v>0</c:v>
                </c:pt>
                <c:pt idx="1">
                  <c:v>534</c:v>
                </c:pt>
                <c:pt idx="2">
                  <c:v>534</c:v>
                </c:pt>
                <c:pt idx="3">
                  <c:v>534</c:v>
                </c:pt>
                <c:pt idx="4">
                  <c:v>539.33333333333337</c:v>
                </c:pt>
                <c:pt idx="5">
                  <c:v>544.66666666666663</c:v>
                </c:pt>
                <c:pt idx="6">
                  <c:v>550</c:v>
                </c:pt>
                <c:pt idx="7">
                  <c:v>550</c:v>
                </c:pt>
                <c:pt idx="8">
                  <c:v>550</c:v>
                </c:pt>
                <c:pt idx="9">
                  <c:v>550</c:v>
                </c:pt>
                <c:pt idx="10">
                  <c:v>550</c:v>
                </c:pt>
                <c:pt idx="11">
                  <c:v>550</c:v>
                </c:pt>
                <c:pt idx="12">
                  <c:v>550</c:v>
                </c:pt>
                <c:pt idx="13">
                  <c:v>550</c:v>
                </c:pt>
              </c:numCache>
            </c:numRef>
          </c:val>
          <c:extLst>
            <c:ext xmlns:c16="http://schemas.microsoft.com/office/drawing/2014/chart" uri="{C3380CC4-5D6E-409C-BE32-E72D297353CC}">
              <c16:uniqueId val="{00000003-2166-4E37-A50A-BEC80D467627}"/>
            </c:ext>
          </c:extLst>
        </c:ser>
        <c:ser>
          <c:idx val="5"/>
          <c:order val="4"/>
          <c:tx>
            <c:strRef>
              <c:f>'1.2. Renewable and non-CIPU'!$C$22</c:f>
              <c:strCache>
                <c:ptCount val="1"/>
                <c:pt idx="0">
                  <c:v>Waste - non-CIPU</c:v>
                </c:pt>
              </c:strCache>
            </c:strRef>
          </c:tx>
          <c:spPr>
            <a:solidFill>
              <a:schemeClr val="tx1">
                <a:lumMod val="50000"/>
                <a:lumOff val="50000"/>
              </a:schemeClr>
            </a:solidFill>
          </c:spPr>
          <c:invertIfNegative val="0"/>
          <c:cat>
            <c:numRef>
              <c:f>'1.2. Renewable and non-CIPU'!$D$6:$Q$6</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'1.2. Renewable and non-CIPU'!$D$22:$Q$22</c:f>
              <c:numCache>
                <c:formatCode>_ * #,##0_ ;_ * \-#,##0_ ;_ * "-"??_ ;_ @_ </c:formatCode>
                <c:ptCount val="14"/>
                <c:pt idx="0">
                  <c:v>0</c:v>
                </c:pt>
                <c:pt idx="1">
                  <c:v>48</c:v>
                </c:pt>
                <c:pt idx="2">
                  <c:v>48</c:v>
                </c:pt>
                <c:pt idx="3">
                  <c:v>48</c:v>
                </c:pt>
                <c:pt idx="4">
                  <c:v>48</c:v>
                </c:pt>
                <c:pt idx="5">
                  <c:v>48</c:v>
                </c:pt>
                <c:pt idx="6">
                  <c:v>48</c:v>
                </c:pt>
                <c:pt idx="7">
                  <c:v>48</c:v>
                </c:pt>
                <c:pt idx="8">
                  <c:v>48</c:v>
                </c:pt>
                <c:pt idx="9">
                  <c:v>48</c:v>
                </c:pt>
                <c:pt idx="10">
                  <c:v>48</c:v>
                </c:pt>
                <c:pt idx="11">
                  <c:v>48</c:v>
                </c:pt>
                <c:pt idx="12">
                  <c:v>48</c:v>
                </c:pt>
                <c:pt idx="13">
                  <c:v>48</c:v>
                </c:pt>
              </c:numCache>
            </c:numRef>
          </c:val>
          <c:extLst>
            <c:ext xmlns:c16="http://schemas.microsoft.com/office/drawing/2014/chart" uri="{C3380CC4-5D6E-409C-BE32-E72D297353CC}">
              <c16:uniqueId val="{00000004-2166-4E37-A50A-BEC80D467627}"/>
            </c:ext>
          </c:extLst>
        </c:ser>
        <c:ser>
          <c:idx val="6"/>
          <c:order val="5"/>
          <c:tx>
            <c:strRef>
              <c:f>'1.2. Renewable and non-CIPU'!$C$14</c:f>
              <c:strCache>
                <c:ptCount val="1"/>
                <c:pt idx="0">
                  <c:v>Hydro RoR</c:v>
                </c:pt>
              </c:strCache>
            </c:strRef>
          </c:tx>
          <c:spPr>
            <a:solidFill>
              <a:schemeClr val="tx2"/>
            </a:solidFill>
          </c:spPr>
          <c:invertIfNegative val="0"/>
          <c:cat>
            <c:numRef>
              <c:f>'1.2. Renewable and non-CIPU'!$D$6:$Q$6</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'1.2. Renewable and non-CIPU'!$D$14:$Q$14</c:f>
              <c:numCache>
                <c:formatCode>_ * #,##0_ ;_ * \-#,##0_ ;_ * "-"??_ ;_ @_ </c:formatCode>
                <c:ptCount val="14"/>
                <c:pt idx="0">
                  <c:v>121</c:v>
                </c:pt>
                <c:pt idx="1">
                  <c:v>125</c:v>
                </c:pt>
                <c:pt idx="2">
                  <c:v>129</c:v>
                </c:pt>
                <c:pt idx="3">
                  <c:v>133</c:v>
                </c:pt>
                <c:pt idx="4">
                  <c:v>137</c:v>
                </c:pt>
                <c:pt idx="5">
                  <c:v>140</c:v>
                </c:pt>
                <c:pt idx="6">
                  <c:v>143</c:v>
                </c:pt>
                <c:pt idx="7">
                  <c:v>145</c:v>
                </c:pt>
                <c:pt idx="8">
                  <c:v>148</c:v>
                </c:pt>
                <c:pt idx="9">
                  <c:v>151</c:v>
                </c:pt>
                <c:pt idx="10">
                  <c:v>154</c:v>
                </c:pt>
                <c:pt idx="11">
                  <c:v>157</c:v>
                </c:pt>
                <c:pt idx="12">
                  <c:v>160</c:v>
                </c:pt>
                <c:pt idx="13">
                  <c:v>163</c:v>
                </c:pt>
              </c:numCache>
            </c:numRef>
          </c:val>
          <c:extLst>
            <c:ext xmlns:c16="http://schemas.microsoft.com/office/drawing/2014/chart" uri="{C3380CC4-5D6E-409C-BE32-E72D297353CC}">
              <c16:uniqueId val="{00000005-2166-4E37-A50A-BEC80D467627}"/>
            </c:ext>
          </c:extLst>
        </c:ser>
        <c:ser>
          <c:idx val="1"/>
          <c:order val="6"/>
          <c:tx>
            <c:strRef>
              <c:f>'1.2. Renewable and non-CIPU'!$C$16</c:f>
              <c:strCache>
                <c:ptCount val="1"/>
                <c:pt idx="0">
                  <c:v>Gas CHP - non-CIPU</c:v>
                </c:pt>
              </c:strCache>
            </c:strRef>
          </c:tx>
          <c:invertIfNegative val="0"/>
          <c:val>
            <c:numRef>
              <c:f>'1.2. Renewable and non-CIPU'!$D$16:$Q$16</c:f>
              <c:numCache>
                <c:formatCode>_ * #,##0_ ;_ * \-#,##0_ ;_ * "-"??_ ;_ @_ </c:formatCode>
                <c:ptCount val="14"/>
                <c:pt idx="0">
                  <c:v>0</c:v>
                </c:pt>
                <c:pt idx="1">
                  <c:v>1380</c:v>
                </c:pt>
                <c:pt idx="2">
                  <c:v>1396</c:v>
                </c:pt>
                <c:pt idx="3">
                  <c:v>1396</c:v>
                </c:pt>
                <c:pt idx="4">
                  <c:v>1435</c:v>
                </c:pt>
                <c:pt idx="5">
                  <c:v>1474</c:v>
                </c:pt>
                <c:pt idx="6">
                  <c:v>1512</c:v>
                </c:pt>
                <c:pt idx="7">
                  <c:v>1512</c:v>
                </c:pt>
                <c:pt idx="8">
                  <c:v>1512</c:v>
                </c:pt>
                <c:pt idx="9">
                  <c:v>1512</c:v>
                </c:pt>
                <c:pt idx="10">
                  <c:v>1512</c:v>
                </c:pt>
                <c:pt idx="11">
                  <c:v>1512</c:v>
                </c:pt>
                <c:pt idx="12">
                  <c:v>1512</c:v>
                </c:pt>
                <c:pt idx="13">
                  <c:v>1512</c:v>
                </c:pt>
              </c:numCache>
            </c:numRef>
          </c:val>
          <c:extLst>
            <c:ext xmlns:c16="http://schemas.microsoft.com/office/drawing/2014/chart" uri="{C3380CC4-5D6E-409C-BE32-E72D297353CC}">
              <c16:uniqueId val="{00000006-2166-4E37-A50A-BEC80D467627}"/>
            </c:ext>
          </c:extLst>
        </c:ser>
        <c:dLbls>
          <c:showLegendKey val="0"/>
          <c:showVal val="0"/>
          <c:showCatName val="0"/>
          <c:showSerName val="0"/>
          <c:showPercent val="0"/>
          <c:showBubbleSize val="0"/>
        </c:dLbls>
        <c:gapWidth val="150"/>
        <c:overlap val="100"/>
        <c:axId val="433365760"/>
        <c:axId val="433367680"/>
      </c:barChart>
      <c:catAx>
        <c:axId val="433365760"/>
        <c:scaling>
          <c:orientation val="minMax"/>
        </c:scaling>
        <c:delete val="0"/>
        <c:axPos val="b"/>
        <c:numFmt formatCode="General" sourceLinked="0"/>
        <c:majorTickMark val="out"/>
        <c:minorTickMark val="none"/>
        <c:tickLblPos val="nextTo"/>
        <c:txPr>
          <a:bodyPr/>
          <a:lstStyle/>
          <a:p>
            <a:pPr>
              <a:defRPr sz="1400"/>
            </a:pPr>
            <a:endParaRPr lang="nl-BE"/>
          </a:p>
        </c:txPr>
        <c:crossAx val="433367680"/>
        <c:crosses val="autoZero"/>
        <c:auto val="1"/>
        <c:lblAlgn val="ctr"/>
        <c:lblOffset val="100"/>
        <c:noMultiLvlLbl val="0"/>
      </c:catAx>
      <c:valAx>
        <c:axId val="433367680"/>
        <c:scaling>
          <c:orientation val="minMax"/>
        </c:scaling>
        <c:delete val="0"/>
        <c:axPos val="l"/>
        <c:majorGridlines/>
        <c:title>
          <c:tx>
            <c:rich>
              <a:bodyPr rot="-5400000" vert="horz"/>
              <a:lstStyle/>
              <a:p>
                <a:pPr>
                  <a:defRPr sz="1600"/>
                </a:pPr>
                <a:r>
                  <a:rPr lang="nl-BE" sz="1600"/>
                  <a:t>Production capacity [MW]</a:t>
                </a:r>
              </a:p>
            </c:rich>
          </c:tx>
          <c:overlay val="0"/>
        </c:title>
        <c:numFmt formatCode="_ * #,##0_ ;_ * \-#,##0_ ;_ * &quot;-&quot;??_ ;_ @_ " sourceLinked="1"/>
        <c:majorTickMark val="out"/>
        <c:minorTickMark val="none"/>
        <c:tickLblPos val="nextTo"/>
        <c:txPr>
          <a:bodyPr/>
          <a:lstStyle/>
          <a:p>
            <a:pPr>
              <a:defRPr sz="1400"/>
            </a:pPr>
            <a:endParaRPr lang="nl-BE"/>
          </a:p>
        </c:txPr>
        <c:crossAx val="433365760"/>
        <c:crosses val="autoZero"/>
        <c:crossBetween val="between"/>
      </c:valAx>
    </c:plotArea>
    <c:legend>
      <c:legendPos val="b"/>
      <c:layout>
        <c:manualLayout>
          <c:xMode val="edge"/>
          <c:yMode val="edge"/>
          <c:x val="0.20492127342334671"/>
          <c:y val="0.91139751243103728"/>
          <c:w val="0.64586619974890402"/>
          <c:h val="5.6796070280383172E-2"/>
        </c:manualLayout>
      </c:layout>
      <c:overlay val="0"/>
      <c:txPr>
        <a:bodyPr/>
        <a:lstStyle/>
        <a:p>
          <a:pPr>
            <a:defRPr sz="1400"/>
          </a:pPr>
          <a:endParaRPr lang="nl-BE"/>
        </a:p>
      </c:txPr>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75494701050745E-2"/>
          <c:y val="0.1141826118236046"/>
          <c:w val="0.87257444490842295"/>
          <c:h val="0.68575910195051548"/>
        </c:manualLayout>
      </c:layout>
      <c:barChart>
        <c:barDir val="col"/>
        <c:grouping val="stacked"/>
        <c:varyColors val="0"/>
        <c:ser>
          <c:idx val="0"/>
          <c:order val="0"/>
          <c:tx>
            <c:strRef>
              <c:f>'2.1. Tot. elec. demand'!$E$64</c:f>
              <c:strCache>
                <c:ptCount val="1"/>
                <c:pt idx="0">
                  <c:v>BEV</c:v>
                </c:pt>
              </c:strCache>
            </c:strRef>
          </c:tx>
          <c:spPr>
            <a:solidFill>
              <a:schemeClr val="accent1">
                <a:lumMod val="40000"/>
                <a:lumOff val="60000"/>
              </a:schemeClr>
            </a:solidFill>
            <a:ln>
              <a:noFill/>
            </a:ln>
            <a:effectLst/>
          </c:spPr>
          <c:invertIfNegative val="0"/>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demand'!$E$131:$E$145</c:f>
              <c:numCache>
                <c:formatCode>0</c:formatCode>
                <c:ptCount val="15"/>
                <c:pt idx="0">
                  <c:v>0.02</c:v>
                </c:pt>
                <c:pt idx="1">
                  <c:v>0.03</c:v>
                </c:pt>
                <c:pt idx="2">
                  <c:v>0.05</c:v>
                </c:pt>
                <c:pt idx="3">
                  <c:v>0.09</c:v>
                </c:pt>
                <c:pt idx="4">
                  <c:v>0.15</c:v>
                </c:pt>
                <c:pt idx="5">
                  <c:v>0.24</c:v>
                </c:pt>
                <c:pt idx="6">
                  <c:v>0.4</c:v>
                </c:pt>
                <c:pt idx="7">
                  <c:v>0.65</c:v>
                </c:pt>
                <c:pt idx="8">
                  <c:v>1.04</c:v>
                </c:pt>
                <c:pt idx="9">
                  <c:v>1.61</c:v>
                </c:pt>
                <c:pt idx="10">
                  <c:v>2.39</c:v>
                </c:pt>
                <c:pt idx="11">
                  <c:v>3.36</c:v>
                </c:pt>
                <c:pt idx="12">
                  <c:v>4.5</c:v>
                </c:pt>
                <c:pt idx="13">
                  <c:v>5.76</c:v>
                </c:pt>
                <c:pt idx="14">
                  <c:v>7.24</c:v>
                </c:pt>
              </c:numCache>
            </c:numRef>
          </c:val>
          <c:extLst>
            <c:ext xmlns:c16="http://schemas.microsoft.com/office/drawing/2014/chart" uri="{C3380CC4-5D6E-409C-BE32-E72D297353CC}">
              <c16:uniqueId val="{00000000-75AA-4C93-B775-B0954C0D156E}"/>
            </c:ext>
          </c:extLst>
        </c:ser>
        <c:ser>
          <c:idx val="1"/>
          <c:order val="2"/>
          <c:tx>
            <c:strRef>
              <c:f>'2.1. Tot. elec. demand'!$F$64</c:f>
              <c:strCache>
                <c:ptCount val="1"/>
                <c:pt idx="0">
                  <c:v>PHEV</c:v>
                </c:pt>
              </c:strCache>
            </c:strRef>
          </c:tx>
          <c:spPr>
            <a:solidFill>
              <a:schemeClr val="accent6">
                <a:lumMod val="40000"/>
                <a:lumOff val="60000"/>
              </a:schemeClr>
            </a:solidFill>
            <a:ln>
              <a:noFill/>
            </a:ln>
            <a:effectLst/>
          </c:spPr>
          <c:invertIfNegative val="0"/>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demand'!$F$131:$F$145</c:f>
              <c:numCache>
                <c:formatCode>0</c:formatCode>
                <c:ptCount val="15"/>
              </c:numCache>
            </c:numRef>
          </c:val>
          <c:extLst>
            <c:ext xmlns:c16="http://schemas.microsoft.com/office/drawing/2014/chart" uri="{C3380CC4-5D6E-409C-BE32-E72D297353CC}">
              <c16:uniqueId val="{00000001-75AA-4C93-B775-B0954C0D156E}"/>
            </c:ext>
          </c:extLst>
        </c:ser>
        <c:dLbls>
          <c:showLegendKey val="0"/>
          <c:showVal val="0"/>
          <c:showCatName val="0"/>
          <c:showSerName val="0"/>
          <c:showPercent val="0"/>
          <c:showBubbleSize val="0"/>
        </c:dLbls>
        <c:gapWidth val="219"/>
        <c:overlap val="100"/>
        <c:axId val="831915352"/>
        <c:axId val="831918632"/>
      </c:barChart>
      <c:lineChart>
        <c:grouping val="standard"/>
        <c:varyColors val="0"/>
        <c:ser>
          <c:idx val="2"/>
          <c:order val="1"/>
          <c:tx>
            <c:strRef>
              <c:f>'2.1. Tot. elec. demand'!$G$64</c:f>
              <c:strCache>
                <c:ptCount val="1"/>
                <c:pt idx="0">
                  <c:v>Equivalent Units (PHEV counted as 1/2)</c:v>
                </c:pt>
              </c:strCache>
            </c:strRef>
          </c:tx>
          <c:spPr>
            <a:ln w="28575" cap="rnd">
              <a:solidFill>
                <a:schemeClr val="tx1"/>
              </a:solidFill>
              <a:round/>
            </a:ln>
            <a:effectLst/>
          </c:spPr>
          <c:marker>
            <c:symbol val="circle"/>
            <c:size val="5"/>
            <c:spPr>
              <a:solidFill>
                <a:schemeClr val="accent3"/>
              </a:solidFill>
              <a:ln w="9525">
                <a:solidFill>
                  <a:schemeClr val="tx1"/>
                </a:solidFill>
              </a:ln>
              <a:effectLst/>
            </c:spPr>
          </c:marker>
          <c:cat>
            <c:numRef>
              <c:f>'2.1. Tot. elec. demand'!$C$65:$C$77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'2.1. Tot. elec. demand'!$G$131:$G$145</c:f>
              <c:numCache>
                <c:formatCode>0</c:formatCode>
                <c:ptCount val="15"/>
                <c:pt idx="0">
                  <c:v>0.02</c:v>
                </c:pt>
                <c:pt idx="1">
                  <c:v>0.03</c:v>
                </c:pt>
                <c:pt idx="2">
                  <c:v>0.05</c:v>
                </c:pt>
                <c:pt idx="3">
                  <c:v>0.09</c:v>
                </c:pt>
                <c:pt idx="4">
                  <c:v>0.15</c:v>
                </c:pt>
                <c:pt idx="5">
                  <c:v>0.24</c:v>
                </c:pt>
                <c:pt idx="6">
                  <c:v>0.4</c:v>
                </c:pt>
                <c:pt idx="7">
                  <c:v>0.65</c:v>
                </c:pt>
                <c:pt idx="8">
                  <c:v>1.04</c:v>
                </c:pt>
                <c:pt idx="9">
                  <c:v>1.61</c:v>
                </c:pt>
                <c:pt idx="10">
                  <c:v>2.39</c:v>
                </c:pt>
                <c:pt idx="11">
                  <c:v>3.36</c:v>
                </c:pt>
                <c:pt idx="12">
                  <c:v>4.5</c:v>
                </c:pt>
                <c:pt idx="13">
                  <c:v>5.76</c:v>
                </c:pt>
                <c:pt idx="14">
                  <c:v>7.24</c:v>
                </c:pt>
              </c:numCache>
            </c:numRef>
          </c:val>
          <c:smooth val="0"/>
          <c:extLst>
            <c:ext xmlns:c16="http://schemas.microsoft.com/office/drawing/2014/chart" uri="{C3380CC4-5D6E-409C-BE32-E72D297353CC}">
              <c16:uniqueId val="{00000002-75AA-4C93-B775-B0954C0D156E}"/>
            </c:ext>
          </c:extLst>
        </c:ser>
        <c:dLbls>
          <c:showLegendKey val="0"/>
          <c:showVal val="0"/>
          <c:showCatName val="0"/>
          <c:showSerName val="0"/>
          <c:showPercent val="0"/>
          <c:showBubbleSize val="0"/>
        </c:dLbls>
        <c:marker val="1"/>
        <c:smooth val="0"/>
        <c:axId val="831915352"/>
        <c:axId val="831918632"/>
      </c:lineChart>
      <c:lineChart>
        <c:grouping val="standard"/>
        <c:varyColors val="0"/>
        <c:ser>
          <c:idx val="3"/>
          <c:order val="3"/>
          <c:tx>
            <c:strRef>
              <c:f>'2.1. Tot. elec. demand'!$H$130</c:f>
              <c:strCache>
                <c:ptCount val="1"/>
                <c:pt idx="0">
                  <c:v>equivalent % of stock</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demand'!$H$131:$H$145</c:f>
              <c:numCache>
                <c:formatCode>0%</c:formatCode>
                <c:ptCount val="15"/>
                <c:pt idx="0">
                  <c:v>0</c:v>
                </c:pt>
                <c:pt idx="1">
                  <c:v>0</c:v>
                </c:pt>
                <c:pt idx="2">
                  <c:v>0</c:v>
                </c:pt>
                <c:pt idx="3">
                  <c:v>1E-3</c:v>
                </c:pt>
                <c:pt idx="4">
                  <c:v>1E-3</c:v>
                </c:pt>
                <c:pt idx="5">
                  <c:v>2E-3</c:v>
                </c:pt>
                <c:pt idx="6">
                  <c:v>3.0000000000000001E-3</c:v>
                </c:pt>
                <c:pt idx="7">
                  <c:v>5.0000000000000001E-3</c:v>
                </c:pt>
                <c:pt idx="8">
                  <c:v>7.0000000000000001E-3</c:v>
                </c:pt>
                <c:pt idx="9">
                  <c:v>1.0999999999999999E-2</c:v>
                </c:pt>
                <c:pt idx="10">
                  <c:v>1.7000000000000001E-2</c:v>
                </c:pt>
                <c:pt idx="11">
                  <c:v>2.4E-2</c:v>
                </c:pt>
                <c:pt idx="12">
                  <c:v>3.2000000000000001E-2</c:v>
                </c:pt>
                <c:pt idx="13">
                  <c:v>4.1000000000000002E-2</c:v>
                </c:pt>
                <c:pt idx="14">
                  <c:v>5.0999999999999997E-2</c:v>
                </c:pt>
              </c:numCache>
            </c:numRef>
          </c:val>
          <c:smooth val="0"/>
          <c:extLst>
            <c:ext xmlns:c16="http://schemas.microsoft.com/office/drawing/2014/chart" uri="{C3380CC4-5D6E-409C-BE32-E72D297353CC}">
              <c16:uniqueId val="{00000003-75AA-4C93-B775-B0954C0D156E}"/>
            </c:ext>
          </c:extLst>
        </c:ser>
        <c:dLbls>
          <c:showLegendKey val="0"/>
          <c:showVal val="0"/>
          <c:showCatName val="0"/>
          <c:showSerName val="0"/>
          <c:showPercent val="0"/>
          <c:showBubbleSize val="0"/>
        </c:dLbls>
        <c:marker val="1"/>
        <c:smooth val="0"/>
        <c:axId val="1113591600"/>
        <c:axId val="1113590944"/>
      </c:lineChart>
      <c:catAx>
        <c:axId val="83191535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nl-BE" sz="900" b="1"/>
                  <a:t>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8632"/>
        <c:crosses val="autoZero"/>
        <c:auto val="1"/>
        <c:lblAlgn val="ctr"/>
        <c:lblOffset val="100"/>
        <c:noMultiLvlLbl val="0"/>
      </c:catAx>
      <c:valAx>
        <c:axId val="831918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 EV [k]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5352"/>
        <c:crosses val="autoZero"/>
        <c:crossBetween val="between"/>
      </c:valAx>
      <c:valAx>
        <c:axId val="1113590944"/>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Sahre of total Stock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113591600"/>
        <c:crosses val="max"/>
        <c:crossBetween val="between"/>
      </c:valAx>
      <c:catAx>
        <c:axId val="1113591600"/>
        <c:scaling>
          <c:orientation val="minMax"/>
        </c:scaling>
        <c:delete val="1"/>
        <c:axPos val="b"/>
        <c:numFmt formatCode="General" sourceLinked="1"/>
        <c:majorTickMark val="out"/>
        <c:minorTickMark val="none"/>
        <c:tickLblPos val="nextTo"/>
        <c:crossAx val="1113590944"/>
        <c:crosses val="autoZero"/>
        <c:auto val="1"/>
        <c:lblAlgn val="ctr"/>
        <c:lblOffset val="100"/>
        <c:noMultiLvlLbl val="0"/>
      </c:catAx>
      <c:spPr>
        <a:noFill/>
        <a:ln>
          <a:noFill/>
        </a:ln>
        <a:effectLst/>
      </c:spPr>
    </c:plotArea>
    <c:legend>
      <c:legendPos val="b"/>
      <c:layout>
        <c:manualLayout>
          <c:xMode val="edge"/>
          <c:yMode val="edge"/>
          <c:x val="0.17625978091206398"/>
          <c:y val="0.92302809133980135"/>
          <c:w val="0.6600411248170579"/>
          <c:h val="7.211586509325490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623621150168124E-2"/>
          <c:y val="0.11418277914334017"/>
          <c:w val="0.82086128319969531"/>
          <c:h val="0.68575910195051548"/>
        </c:manualLayout>
      </c:layout>
      <c:barChart>
        <c:barDir val="col"/>
        <c:grouping val="stacked"/>
        <c:varyColors val="0"/>
        <c:ser>
          <c:idx val="0"/>
          <c:order val="0"/>
          <c:tx>
            <c:strRef>
              <c:f>'2.1. Tot. elec. demand'!$E$64</c:f>
              <c:strCache>
                <c:ptCount val="1"/>
                <c:pt idx="0">
                  <c:v>BEV</c:v>
                </c:pt>
              </c:strCache>
            </c:strRef>
          </c:tx>
          <c:spPr>
            <a:solidFill>
              <a:schemeClr val="accent1">
                <a:lumMod val="40000"/>
                <a:lumOff val="60000"/>
              </a:schemeClr>
            </a:solidFill>
            <a:ln>
              <a:noFill/>
            </a:ln>
            <a:effectLst/>
          </c:spPr>
          <c:invertIfNegative val="0"/>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demand'!$E$160:$E$174</c:f>
              <c:numCache>
                <c:formatCode>0</c:formatCode>
                <c:ptCount val="15"/>
                <c:pt idx="0" formatCode="0.0">
                  <c:v>0.47</c:v>
                </c:pt>
                <c:pt idx="1">
                  <c:v>0.91</c:v>
                </c:pt>
                <c:pt idx="2">
                  <c:v>1.36</c:v>
                </c:pt>
                <c:pt idx="3">
                  <c:v>1.8</c:v>
                </c:pt>
                <c:pt idx="4">
                  <c:v>2.2400000000000002</c:v>
                </c:pt>
                <c:pt idx="5">
                  <c:v>2.68</c:v>
                </c:pt>
                <c:pt idx="6">
                  <c:v>3.12</c:v>
                </c:pt>
                <c:pt idx="7">
                  <c:v>3.56</c:v>
                </c:pt>
                <c:pt idx="8">
                  <c:v>4</c:v>
                </c:pt>
                <c:pt idx="9">
                  <c:v>4.4400000000000004</c:v>
                </c:pt>
                <c:pt idx="10">
                  <c:v>5.62</c:v>
                </c:pt>
                <c:pt idx="11">
                  <c:v>6.81</c:v>
                </c:pt>
                <c:pt idx="12">
                  <c:v>7.99</c:v>
                </c:pt>
                <c:pt idx="13">
                  <c:v>9.17</c:v>
                </c:pt>
                <c:pt idx="14">
                  <c:v>10.36</c:v>
                </c:pt>
              </c:numCache>
            </c:numRef>
          </c:val>
          <c:extLst>
            <c:ext xmlns:c16="http://schemas.microsoft.com/office/drawing/2014/chart" uri="{C3380CC4-5D6E-409C-BE32-E72D297353CC}">
              <c16:uniqueId val="{00000000-40BC-434B-8102-B9C4F20C90DE}"/>
            </c:ext>
          </c:extLst>
        </c:ser>
        <c:ser>
          <c:idx val="1"/>
          <c:order val="2"/>
          <c:tx>
            <c:strRef>
              <c:f>'2.1. Tot. elec. demand'!$F$64</c:f>
              <c:strCache>
                <c:ptCount val="1"/>
                <c:pt idx="0">
                  <c:v>PHEV</c:v>
                </c:pt>
              </c:strCache>
            </c:strRef>
          </c:tx>
          <c:spPr>
            <a:solidFill>
              <a:schemeClr val="accent6">
                <a:lumMod val="40000"/>
                <a:lumOff val="60000"/>
              </a:schemeClr>
            </a:solidFill>
            <a:ln>
              <a:noFill/>
            </a:ln>
            <a:effectLst/>
          </c:spPr>
          <c:invertIfNegative val="0"/>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demand'!$F$131:$F$145</c:f>
              <c:numCache>
                <c:formatCode>0</c:formatCode>
                <c:ptCount val="15"/>
              </c:numCache>
            </c:numRef>
          </c:val>
          <c:extLst>
            <c:ext xmlns:c16="http://schemas.microsoft.com/office/drawing/2014/chart" uri="{C3380CC4-5D6E-409C-BE32-E72D297353CC}">
              <c16:uniqueId val="{00000001-40BC-434B-8102-B9C4F20C90DE}"/>
            </c:ext>
          </c:extLst>
        </c:ser>
        <c:dLbls>
          <c:showLegendKey val="0"/>
          <c:showVal val="0"/>
          <c:showCatName val="0"/>
          <c:showSerName val="0"/>
          <c:showPercent val="0"/>
          <c:showBubbleSize val="0"/>
        </c:dLbls>
        <c:gapWidth val="219"/>
        <c:overlap val="100"/>
        <c:axId val="831915352"/>
        <c:axId val="831918632"/>
      </c:barChart>
      <c:lineChart>
        <c:grouping val="standard"/>
        <c:varyColors val="0"/>
        <c:ser>
          <c:idx val="2"/>
          <c:order val="1"/>
          <c:tx>
            <c:strRef>
              <c:f>'2.1. Tot. elec. demand'!$G$64</c:f>
              <c:strCache>
                <c:ptCount val="1"/>
                <c:pt idx="0">
                  <c:v>Equivalent Units (PHEV counted as 1/2)</c:v>
                </c:pt>
              </c:strCache>
            </c:strRef>
          </c:tx>
          <c:spPr>
            <a:ln w="28575" cap="rnd">
              <a:solidFill>
                <a:schemeClr val="tx1"/>
              </a:solidFill>
              <a:round/>
            </a:ln>
            <a:effectLst/>
          </c:spPr>
          <c:marker>
            <c:symbol val="circle"/>
            <c:size val="5"/>
            <c:spPr>
              <a:solidFill>
                <a:schemeClr val="accent3"/>
              </a:solidFill>
              <a:ln w="9525">
                <a:solidFill>
                  <a:schemeClr val="tx1"/>
                </a:solidFill>
              </a:ln>
              <a:effectLst/>
            </c:spPr>
          </c:marker>
          <c:cat>
            <c:numRef>
              <c:f>'2.1. Tot. elec. demand'!$C$65:$C$77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'2.1. Tot. elec. demand'!$G$160:$G$174</c:f>
              <c:numCache>
                <c:formatCode>0</c:formatCode>
                <c:ptCount val="15"/>
                <c:pt idx="0" formatCode="0.0">
                  <c:v>0.47</c:v>
                </c:pt>
                <c:pt idx="1">
                  <c:v>0.91</c:v>
                </c:pt>
                <c:pt idx="2">
                  <c:v>1.36</c:v>
                </c:pt>
                <c:pt idx="3">
                  <c:v>1.8</c:v>
                </c:pt>
                <c:pt idx="4">
                  <c:v>2.2400000000000002</c:v>
                </c:pt>
                <c:pt idx="5">
                  <c:v>2.68</c:v>
                </c:pt>
                <c:pt idx="6">
                  <c:v>3.12</c:v>
                </c:pt>
                <c:pt idx="7">
                  <c:v>3.56</c:v>
                </c:pt>
                <c:pt idx="8">
                  <c:v>4</c:v>
                </c:pt>
                <c:pt idx="9">
                  <c:v>4.4400000000000004</c:v>
                </c:pt>
                <c:pt idx="10">
                  <c:v>5.62</c:v>
                </c:pt>
                <c:pt idx="11">
                  <c:v>6.81</c:v>
                </c:pt>
                <c:pt idx="12">
                  <c:v>7.99</c:v>
                </c:pt>
                <c:pt idx="13">
                  <c:v>9.17</c:v>
                </c:pt>
                <c:pt idx="14">
                  <c:v>10.36</c:v>
                </c:pt>
              </c:numCache>
            </c:numRef>
          </c:val>
          <c:smooth val="0"/>
          <c:extLst>
            <c:ext xmlns:c16="http://schemas.microsoft.com/office/drawing/2014/chart" uri="{C3380CC4-5D6E-409C-BE32-E72D297353CC}">
              <c16:uniqueId val="{00000002-40BC-434B-8102-B9C4F20C90DE}"/>
            </c:ext>
          </c:extLst>
        </c:ser>
        <c:dLbls>
          <c:showLegendKey val="0"/>
          <c:showVal val="0"/>
          <c:showCatName val="0"/>
          <c:showSerName val="0"/>
          <c:showPercent val="0"/>
          <c:showBubbleSize val="0"/>
        </c:dLbls>
        <c:marker val="1"/>
        <c:smooth val="0"/>
        <c:axId val="831915352"/>
        <c:axId val="831918632"/>
      </c:lineChart>
      <c:lineChart>
        <c:grouping val="standard"/>
        <c:varyColors val="0"/>
        <c:ser>
          <c:idx val="3"/>
          <c:order val="3"/>
          <c:tx>
            <c:strRef>
              <c:f>'2.1. Tot. elec. demand'!$H$159</c:f>
              <c:strCache>
                <c:ptCount val="1"/>
                <c:pt idx="0">
                  <c:v>equivalent % of stock</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demand'!$H$160:$H$174</c:f>
              <c:numCache>
                <c:formatCode>0%</c:formatCode>
                <c:ptCount val="15"/>
                <c:pt idx="0">
                  <c:v>2.9000000000000001E-2</c:v>
                </c:pt>
                <c:pt idx="1">
                  <c:v>5.6000000000000001E-2</c:v>
                </c:pt>
                <c:pt idx="2">
                  <c:v>8.3000000000000004E-2</c:v>
                </c:pt>
                <c:pt idx="3">
                  <c:v>0.111</c:v>
                </c:pt>
                <c:pt idx="4">
                  <c:v>0.13900000000000001</c:v>
                </c:pt>
                <c:pt idx="5">
                  <c:v>0.16800000000000001</c:v>
                </c:pt>
                <c:pt idx="6">
                  <c:v>0.19700000000000001</c:v>
                </c:pt>
                <c:pt idx="7">
                  <c:v>0.22700000000000001</c:v>
                </c:pt>
                <c:pt idx="8">
                  <c:v>0.25700000000000001</c:v>
                </c:pt>
                <c:pt idx="9">
                  <c:v>0.28699999999999998</c:v>
                </c:pt>
                <c:pt idx="10">
                  <c:v>0.36699999999999999</c:v>
                </c:pt>
                <c:pt idx="11">
                  <c:v>0.44800000000000001</c:v>
                </c:pt>
                <c:pt idx="12">
                  <c:v>0.53100000000000003</c:v>
                </c:pt>
                <c:pt idx="13">
                  <c:v>0.61499999999999999</c:v>
                </c:pt>
                <c:pt idx="14">
                  <c:v>0.7</c:v>
                </c:pt>
              </c:numCache>
            </c:numRef>
          </c:val>
          <c:smooth val="0"/>
          <c:extLst>
            <c:ext xmlns:c16="http://schemas.microsoft.com/office/drawing/2014/chart" uri="{C3380CC4-5D6E-409C-BE32-E72D297353CC}">
              <c16:uniqueId val="{00000003-40BC-434B-8102-B9C4F20C90DE}"/>
            </c:ext>
          </c:extLst>
        </c:ser>
        <c:dLbls>
          <c:showLegendKey val="0"/>
          <c:showVal val="0"/>
          <c:showCatName val="0"/>
          <c:showSerName val="0"/>
          <c:showPercent val="0"/>
          <c:showBubbleSize val="0"/>
        </c:dLbls>
        <c:marker val="1"/>
        <c:smooth val="0"/>
        <c:axId val="1096081392"/>
        <c:axId val="1096088280"/>
      </c:lineChart>
      <c:catAx>
        <c:axId val="83191535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nl-BE" sz="900" b="1"/>
                  <a:t>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8632"/>
        <c:crosses val="autoZero"/>
        <c:auto val="1"/>
        <c:lblAlgn val="ctr"/>
        <c:lblOffset val="100"/>
        <c:noMultiLvlLbl val="0"/>
      </c:catAx>
      <c:valAx>
        <c:axId val="831918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 EV [k]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5352"/>
        <c:crosses val="autoZero"/>
        <c:crossBetween val="between"/>
      </c:valAx>
      <c:valAx>
        <c:axId val="1096088280"/>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sz="1000" b="0" i="0" baseline="0">
                    <a:effectLst/>
                  </a:rPr>
                  <a:t>Sahre of total Stock [%]</a:t>
                </a:r>
                <a:endParaRPr lang="nl-BE"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096081392"/>
        <c:crosses val="max"/>
        <c:crossBetween val="between"/>
      </c:valAx>
      <c:catAx>
        <c:axId val="1096081392"/>
        <c:scaling>
          <c:orientation val="minMax"/>
        </c:scaling>
        <c:delete val="1"/>
        <c:axPos val="b"/>
        <c:numFmt formatCode="General" sourceLinked="1"/>
        <c:majorTickMark val="out"/>
        <c:minorTickMark val="none"/>
        <c:tickLblPos val="nextTo"/>
        <c:crossAx val="1096088280"/>
        <c:crosses val="autoZero"/>
        <c:auto val="1"/>
        <c:lblAlgn val="ctr"/>
        <c:lblOffset val="100"/>
        <c:noMultiLvlLbl val="0"/>
      </c:catAx>
      <c:spPr>
        <a:noFill/>
        <a:ln>
          <a:noFill/>
        </a:ln>
        <a:effectLst/>
      </c:spPr>
    </c:plotArea>
    <c:legend>
      <c:legendPos val="b"/>
      <c:layout>
        <c:manualLayout>
          <c:xMode val="edge"/>
          <c:yMode val="edge"/>
          <c:x val="0.17625978091206398"/>
          <c:y val="0.92302809133980135"/>
          <c:w val="0.6600411248170579"/>
          <c:h val="7.211586509325490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12591754706347E-2"/>
          <c:y val="0.1141826118236046"/>
          <c:w val="0.83334377050869857"/>
          <c:h val="0.64421616983136909"/>
        </c:manualLayout>
      </c:layout>
      <c:barChart>
        <c:barDir val="col"/>
        <c:grouping val="stacked"/>
        <c:varyColors val="0"/>
        <c:ser>
          <c:idx val="2"/>
          <c:order val="0"/>
          <c:tx>
            <c:strRef>
              <c:f>'2.1. Tot. elec. demand'!$F$195</c:f>
              <c:strCache>
                <c:ptCount val="1"/>
                <c:pt idx="0">
                  <c:v>AW HP</c:v>
                </c:pt>
              </c:strCache>
            </c:strRef>
          </c:tx>
          <c:spPr>
            <a:solidFill>
              <a:schemeClr val="accent3">
                <a:lumMod val="40000"/>
                <a:lumOff val="60000"/>
              </a:schemeClr>
            </a:solidFill>
            <a:ln>
              <a:noFill/>
            </a:ln>
            <a:effectLst/>
          </c:spPr>
          <c:invertIfNegative val="0"/>
          <c:cat>
            <c:numRef>
              <c:f>'2.1. Tot. elec. demand'!$C$196:$C$210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demand'!$F$196:$F$210</c:f>
              <c:numCache>
                <c:formatCode>General</c:formatCode>
                <c:ptCount val="15"/>
                <c:pt idx="0">
                  <c:v>71</c:v>
                </c:pt>
                <c:pt idx="1">
                  <c:v>90</c:v>
                </c:pt>
                <c:pt idx="2">
                  <c:v>113</c:v>
                </c:pt>
                <c:pt idx="3">
                  <c:v>143</c:v>
                </c:pt>
                <c:pt idx="4">
                  <c:v>187</c:v>
                </c:pt>
                <c:pt idx="5">
                  <c:v>233</c:v>
                </c:pt>
                <c:pt idx="6">
                  <c:v>281</c:v>
                </c:pt>
                <c:pt idx="7">
                  <c:v>331</c:v>
                </c:pt>
                <c:pt idx="8">
                  <c:v>383</c:v>
                </c:pt>
                <c:pt idx="9">
                  <c:v>437</c:v>
                </c:pt>
                <c:pt idx="10">
                  <c:v>494</c:v>
                </c:pt>
                <c:pt idx="11">
                  <c:v>552</c:v>
                </c:pt>
                <c:pt idx="12">
                  <c:v>613</c:v>
                </c:pt>
                <c:pt idx="13">
                  <c:v>676</c:v>
                </c:pt>
                <c:pt idx="14">
                  <c:v>742</c:v>
                </c:pt>
              </c:numCache>
            </c:numRef>
          </c:val>
          <c:extLst>
            <c:ext xmlns:c16="http://schemas.microsoft.com/office/drawing/2014/chart" uri="{C3380CC4-5D6E-409C-BE32-E72D297353CC}">
              <c16:uniqueId val="{00000000-3299-488C-BA31-C1F20725F4CD}"/>
            </c:ext>
          </c:extLst>
        </c:ser>
        <c:ser>
          <c:idx val="1"/>
          <c:order val="1"/>
          <c:tx>
            <c:strRef>
              <c:f>'2.1. Tot. elec. demand'!$G$195</c:f>
              <c:strCache>
                <c:ptCount val="1"/>
                <c:pt idx="0">
                  <c:v>GW HP</c:v>
                </c:pt>
              </c:strCache>
            </c:strRef>
          </c:tx>
          <c:spPr>
            <a:solidFill>
              <a:schemeClr val="accent6">
                <a:lumMod val="40000"/>
                <a:lumOff val="60000"/>
              </a:schemeClr>
            </a:solidFill>
            <a:ln>
              <a:noFill/>
            </a:ln>
            <a:effectLst/>
          </c:spPr>
          <c:invertIfNegative val="0"/>
          <c:cat>
            <c:numRef>
              <c:f>'2.1. Tot. elec. demand'!$C$196:$C$210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demand'!$G$196:$G$210</c:f>
              <c:numCache>
                <c:formatCode>General</c:formatCode>
                <c:ptCount val="15"/>
                <c:pt idx="0">
                  <c:v>21</c:v>
                </c:pt>
                <c:pt idx="1">
                  <c:v>25</c:v>
                </c:pt>
                <c:pt idx="2">
                  <c:v>31</c:v>
                </c:pt>
                <c:pt idx="3">
                  <c:v>37</c:v>
                </c:pt>
                <c:pt idx="4">
                  <c:v>47</c:v>
                </c:pt>
                <c:pt idx="5">
                  <c:v>58</c:v>
                </c:pt>
                <c:pt idx="6">
                  <c:v>69</c:v>
                </c:pt>
                <c:pt idx="7">
                  <c:v>80</c:v>
                </c:pt>
                <c:pt idx="8">
                  <c:v>91</c:v>
                </c:pt>
                <c:pt idx="9">
                  <c:v>103</c:v>
                </c:pt>
                <c:pt idx="10">
                  <c:v>115</c:v>
                </c:pt>
                <c:pt idx="11">
                  <c:v>127</c:v>
                </c:pt>
                <c:pt idx="12">
                  <c:v>140</c:v>
                </c:pt>
                <c:pt idx="13">
                  <c:v>152</c:v>
                </c:pt>
                <c:pt idx="14">
                  <c:v>165</c:v>
                </c:pt>
              </c:numCache>
            </c:numRef>
          </c:val>
          <c:extLst>
            <c:ext xmlns:c16="http://schemas.microsoft.com/office/drawing/2014/chart" uri="{C3380CC4-5D6E-409C-BE32-E72D297353CC}">
              <c16:uniqueId val="{00000001-3299-488C-BA31-C1F20725F4CD}"/>
            </c:ext>
          </c:extLst>
        </c:ser>
        <c:ser>
          <c:idx val="0"/>
          <c:order val="2"/>
          <c:tx>
            <c:strRef>
              <c:f>'2.1. Tot. elec. demand'!$E$195</c:f>
              <c:strCache>
                <c:ptCount val="1"/>
                <c:pt idx="0">
                  <c:v>AA HP</c:v>
                </c:pt>
              </c:strCache>
            </c:strRef>
          </c:tx>
          <c:spPr>
            <a:solidFill>
              <a:schemeClr val="accent1">
                <a:lumMod val="40000"/>
                <a:lumOff val="60000"/>
              </a:schemeClr>
            </a:solidFill>
            <a:ln>
              <a:noFill/>
            </a:ln>
            <a:effectLst/>
          </c:spPr>
          <c:invertIfNegative val="0"/>
          <c:cat>
            <c:numRef>
              <c:f>'2.1. Tot. elec. demand'!$C$196:$C$210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demand'!$E$196:$E$210</c:f>
              <c:numCache>
                <c:formatCode>General</c:formatCode>
                <c:ptCount val="15"/>
                <c:pt idx="0">
                  <c:v>87</c:v>
                </c:pt>
                <c:pt idx="1">
                  <c:v>91</c:v>
                </c:pt>
                <c:pt idx="2">
                  <c:v>96</c:v>
                </c:pt>
                <c:pt idx="3">
                  <c:v>101</c:v>
                </c:pt>
                <c:pt idx="4">
                  <c:v>108</c:v>
                </c:pt>
                <c:pt idx="5">
                  <c:v>115</c:v>
                </c:pt>
                <c:pt idx="6">
                  <c:v>124</c:v>
                </c:pt>
                <c:pt idx="7">
                  <c:v>133</c:v>
                </c:pt>
                <c:pt idx="8">
                  <c:v>144</c:v>
                </c:pt>
                <c:pt idx="9">
                  <c:v>155</c:v>
                </c:pt>
                <c:pt idx="10">
                  <c:v>168</c:v>
                </c:pt>
                <c:pt idx="11">
                  <c:v>182</c:v>
                </c:pt>
                <c:pt idx="12">
                  <c:v>196</c:v>
                </c:pt>
                <c:pt idx="13">
                  <c:v>212</c:v>
                </c:pt>
                <c:pt idx="14">
                  <c:v>228</c:v>
                </c:pt>
              </c:numCache>
            </c:numRef>
          </c:val>
          <c:extLst>
            <c:ext xmlns:c16="http://schemas.microsoft.com/office/drawing/2014/chart" uri="{C3380CC4-5D6E-409C-BE32-E72D297353CC}">
              <c16:uniqueId val="{00000002-3299-488C-BA31-C1F20725F4CD}"/>
            </c:ext>
          </c:extLst>
        </c:ser>
        <c:ser>
          <c:idx val="3"/>
          <c:order val="3"/>
          <c:tx>
            <c:strRef>
              <c:f>'2.1. Tot. elec. demand'!$H$195</c:f>
              <c:strCache>
                <c:ptCount val="1"/>
                <c:pt idx="0">
                  <c:v>HP as secondary 
heat*</c:v>
                </c:pt>
              </c:strCache>
            </c:strRef>
          </c:tx>
          <c:spPr>
            <a:solidFill>
              <a:schemeClr val="accent5">
                <a:lumMod val="40000"/>
                <a:lumOff val="60000"/>
              </a:schemeClr>
            </a:solidFill>
            <a:ln>
              <a:noFill/>
            </a:ln>
            <a:effectLst/>
          </c:spPr>
          <c:invertIfNegative val="0"/>
          <c:cat>
            <c:numRef>
              <c:f>'2.1. Tot. elec. demand'!$C$196:$C$210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demand'!$H$196:$H$210</c:f>
              <c:numCache>
                <c:formatCode>General</c:formatCode>
                <c:ptCount val="15"/>
                <c:pt idx="0">
                  <c:v>330</c:v>
                </c:pt>
                <c:pt idx="1">
                  <c:v>338</c:v>
                </c:pt>
                <c:pt idx="2">
                  <c:v>347</c:v>
                </c:pt>
                <c:pt idx="3">
                  <c:v>358</c:v>
                </c:pt>
                <c:pt idx="4">
                  <c:v>369</c:v>
                </c:pt>
                <c:pt idx="5">
                  <c:v>382</c:v>
                </c:pt>
                <c:pt idx="6">
                  <c:v>397</c:v>
                </c:pt>
                <c:pt idx="7">
                  <c:v>412</c:v>
                </c:pt>
                <c:pt idx="8">
                  <c:v>429</c:v>
                </c:pt>
                <c:pt idx="9">
                  <c:v>447</c:v>
                </c:pt>
                <c:pt idx="10">
                  <c:v>467</c:v>
                </c:pt>
                <c:pt idx="11">
                  <c:v>488</c:v>
                </c:pt>
                <c:pt idx="12">
                  <c:v>510</c:v>
                </c:pt>
                <c:pt idx="13">
                  <c:v>534</c:v>
                </c:pt>
                <c:pt idx="14">
                  <c:v>559</c:v>
                </c:pt>
              </c:numCache>
            </c:numRef>
          </c:val>
          <c:extLst>
            <c:ext xmlns:c16="http://schemas.microsoft.com/office/drawing/2014/chart" uri="{C3380CC4-5D6E-409C-BE32-E72D297353CC}">
              <c16:uniqueId val="{00000003-3299-488C-BA31-C1F20725F4CD}"/>
            </c:ext>
          </c:extLst>
        </c:ser>
        <c:dLbls>
          <c:showLegendKey val="0"/>
          <c:showVal val="0"/>
          <c:showCatName val="0"/>
          <c:showSerName val="0"/>
          <c:showPercent val="0"/>
          <c:showBubbleSize val="0"/>
        </c:dLbls>
        <c:gapWidth val="219"/>
        <c:overlap val="100"/>
        <c:axId val="831915352"/>
        <c:axId val="831918632"/>
      </c:barChart>
      <c:lineChart>
        <c:grouping val="standard"/>
        <c:varyColors val="0"/>
        <c:ser>
          <c:idx val="4"/>
          <c:order val="4"/>
          <c:tx>
            <c:strRef>
              <c:f>'2.1. Tot. elec. demand'!$I$195</c:f>
              <c:strCache>
                <c:ptCount val="1"/>
                <c:pt idx="0">
                  <c:v>Total</c:v>
                </c:pt>
              </c:strCache>
            </c:strRef>
          </c:tx>
          <c:spPr>
            <a:ln w="28575" cap="rnd">
              <a:solidFill>
                <a:schemeClr val="tx1"/>
              </a:solidFill>
              <a:round/>
            </a:ln>
            <a:effectLst/>
          </c:spPr>
          <c:marker>
            <c:symbol val="circle"/>
            <c:size val="5"/>
            <c:spPr>
              <a:solidFill>
                <a:schemeClr val="accent3"/>
              </a:solidFill>
              <a:ln w="9525">
                <a:solidFill>
                  <a:schemeClr val="tx1"/>
                </a:solidFill>
              </a:ln>
              <a:effectLst/>
            </c:spPr>
          </c:marker>
          <c:val>
            <c:numRef>
              <c:f>'2.1. Tot. elec. demand'!$I$196:$I$210</c:f>
              <c:numCache>
                <c:formatCode>0</c:formatCode>
                <c:ptCount val="15"/>
                <c:pt idx="0">
                  <c:v>509</c:v>
                </c:pt>
                <c:pt idx="1">
                  <c:v>544</c:v>
                </c:pt>
                <c:pt idx="2">
                  <c:v>587</c:v>
                </c:pt>
                <c:pt idx="3">
                  <c:v>639</c:v>
                </c:pt>
                <c:pt idx="4">
                  <c:v>711</c:v>
                </c:pt>
                <c:pt idx="5">
                  <c:v>788</c:v>
                </c:pt>
                <c:pt idx="6">
                  <c:v>871</c:v>
                </c:pt>
                <c:pt idx="7">
                  <c:v>956</c:v>
                </c:pt>
                <c:pt idx="8">
                  <c:v>1047</c:v>
                </c:pt>
                <c:pt idx="9">
                  <c:v>1142</c:v>
                </c:pt>
                <c:pt idx="10">
                  <c:v>1244</c:v>
                </c:pt>
                <c:pt idx="11">
                  <c:v>1349</c:v>
                </c:pt>
                <c:pt idx="12">
                  <c:v>1459</c:v>
                </c:pt>
                <c:pt idx="13">
                  <c:v>1574</c:v>
                </c:pt>
                <c:pt idx="14">
                  <c:v>1694</c:v>
                </c:pt>
              </c:numCache>
            </c:numRef>
          </c:val>
          <c:smooth val="0"/>
          <c:extLst>
            <c:ext xmlns:c16="http://schemas.microsoft.com/office/drawing/2014/chart" uri="{C3380CC4-5D6E-409C-BE32-E72D297353CC}">
              <c16:uniqueId val="{00000004-3299-488C-BA31-C1F20725F4CD}"/>
            </c:ext>
          </c:extLst>
        </c:ser>
        <c:dLbls>
          <c:showLegendKey val="0"/>
          <c:showVal val="0"/>
          <c:showCatName val="0"/>
          <c:showSerName val="0"/>
          <c:showPercent val="0"/>
          <c:showBubbleSize val="0"/>
        </c:dLbls>
        <c:marker val="1"/>
        <c:smooth val="0"/>
        <c:axId val="831915352"/>
        <c:axId val="831918632"/>
      </c:lineChart>
      <c:lineChart>
        <c:grouping val="standard"/>
        <c:varyColors val="0"/>
        <c:ser>
          <c:idx val="5"/>
          <c:order val="5"/>
          <c:tx>
            <c:strRef>
              <c:f>'2.1. Tot. elec. demand'!$J$195</c:f>
              <c:strCache>
                <c:ptCount val="1"/>
                <c:pt idx="0">
                  <c:v>equivalent % of stock</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'2.1. Tot. elec. demand'!$C$196:$C$210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demand'!$J$196:$J$210</c:f>
              <c:numCache>
                <c:formatCode>0%</c:formatCode>
                <c:ptCount val="15"/>
                <c:pt idx="0">
                  <c:v>8.4000000000000005E-2</c:v>
                </c:pt>
                <c:pt idx="1">
                  <c:v>8.8999999999999996E-2</c:v>
                </c:pt>
                <c:pt idx="2">
                  <c:v>9.5000000000000001E-2</c:v>
                </c:pt>
                <c:pt idx="3">
                  <c:v>0.10299999999999999</c:v>
                </c:pt>
                <c:pt idx="4">
                  <c:v>0.114</c:v>
                </c:pt>
                <c:pt idx="5">
                  <c:v>0.126</c:v>
                </c:pt>
                <c:pt idx="6">
                  <c:v>0.13800000000000001</c:v>
                </c:pt>
                <c:pt idx="7">
                  <c:v>0.151</c:v>
                </c:pt>
                <c:pt idx="8">
                  <c:v>0.16500000000000001</c:v>
                </c:pt>
                <c:pt idx="9">
                  <c:v>0.17899999999999999</c:v>
                </c:pt>
                <c:pt idx="10">
                  <c:v>0.193</c:v>
                </c:pt>
                <c:pt idx="11">
                  <c:v>0.20799999999999999</c:v>
                </c:pt>
                <c:pt idx="12">
                  <c:v>0.224</c:v>
                </c:pt>
                <c:pt idx="13">
                  <c:v>0.23899999999999999</c:v>
                </c:pt>
                <c:pt idx="14">
                  <c:v>0.255</c:v>
                </c:pt>
              </c:numCache>
            </c:numRef>
          </c:val>
          <c:smooth val="0"/>
          <c:extLst>
            <c:ext xmlns:c16="http://schemas.microsoft.com/office/drawing/2014/chart" uri="{C3380CC4-5D6E-409C-BE32-E72D297353CC}">
              <c16:uniqueId val="{00000005-3299-488C-BA31-C1F20725F4CD}"/>
            </c:ext>
          </c:extLst>
        </c:ser>
        <c:dLbls>
          <c:showLegendKey val="0"/>
          <c:showVal val="0"/>
          <c:showCatName val="0"/>
          <c:showSerName val="0"/>
          <c:showPercent val="0"/>
          <c:showBubbleSize val="0"/>
        </c:dLbls>
        <c:marker val="1"/>
        <c:smooth val="0"/>
        <c:axId val="846529344"/>
        <c:axId val="846529016"/>
      </c:lineChart>
      <c:catAx>
        <c:axId val="83191535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nl-BE" sz="900" b="1"/>
                  <a:t>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8632"/>
        <c:crosses val="autoZero"/>
        <c:auto val="1"/>
        <c:lblAlgn val="ctr"/>
        <c:lblOffset val="100"/>
        <c:noMultiLvlLbl val="0"/>
      </c:catAx>
      <c:valAx>
        <c:axId val="831918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 HP [k]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5352"/>
        <c:crosses val="autoZero"/>
        <c:crossBetween val="between"/>
      </c:valAx>
      <c:valAx>
        <c:axId val="846529016"/>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Share</a:t>
                </a:r>
                <a:r>
                  <a:rPr lang="nl-BE" baseline="0"/>
                  <a:t> of total Stock []</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46529344"/>
        <c:crosses val="max"/>
        <c:crossBetween val="between"/>
      </c:valAx>
      <c:catAx>
        <c:axId val="846529344"/>
        <c:scaling>
          <c:orientation val="minMax"/>
        </c:scaling>
        <c:delete val="1"/>
        <c:axPos val="b"/>
        <c:numFmt formatCode="General" sourceLinked="1"/>
        <c:majorTickMark val="out"/>
        <c:minorTickMark val="none"/>
        <c:tickLblPos val="nextTo"/>
        <c:crossAx val="846529016"/>
        <c:crosses val="autoZero"/>
        <c:auto val="1"/>
        <c:lblAlgn val="ctr"/>
        <c:lblOffset val="100"/>
        <c:noMultiLvlLbl val="0"/>
      </c:catAx>
      <c:spPr>
        <a:noFill/>
        <a:ln>
          <a:noFill/>
        </a:ln>
        <a:effectLst/>
      </c:spPr>
    </c:plotArea>
    <c:legend>
      <c:legendPos val="b"/>
      <c:layout>
        <c:manualLayout>
          <c:xMode val="edge"/>
          <c:yMode val="edge"/>
          <c:x val="0.17625978091206398"/>
          <c:y val="0.92302809133980135"/>
          <c:w val="0.70710664930444889"/>
          <c:h val="7.211586509325490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623621150168124E-2"/>
          <c:y val="0.11418277914334017"/>
          <c:w val="0.81551164578155122"/>
          <c:h val="0.68575910195051548"/>
        </c:manualLayout>
      </c:layout>
      <c:barChart>
        <c:barDir val="col"/>
        <c:grouping val="stacked"/>
        <c:varyColors val="0"/>
        <c:ser>
          <c:idx val="2"/>
          <c:order val="0"/>
          <c:tx>
            <c:strRef>
              <c:f>'2.1. Tot. elec. demand'!$F$195</c:f>
              <c:strCache>
                <c:ptCount val="1"/>
                <c:pt idx="0">
                  <c:v>AW HP</c:v>
                </c:pt>
              </c:strCache>
            </c:strRef>
          </c:tx>
          <c:spPr>
            <a:solidFill>
              <a:schemeClr val="accent3">
                <a:lumMod val="40000"/>
                <a:lumOff val="60000"/>
              </a:schemeClr>
            </a:solidFill>
            <a:ln>
              <a:noFill/>
            </a:ln>
            <a:effectLst/>
          </c:spPr>
          <c:invertIfNegative val="0"/>
          <c:cat>
            <c:numRef>
              <c:f>'2.1. Tot. elec. demand'!$C$196:$C$210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demand'!$F$236:$F$250</c:f>
              <c:numCache>
                <c:formatCode>0</c:formatCode>
                <c:ptCount val="15"/>
                <c:pt idx="0">
                  <c:v>2</c:v>
                </c:pt>
                <c:pt idx="1">
                  <c:v>6</c:v>
                </c:pt>
                <c:pt idx="2">
                  <c:v>11</c:v>
                </c:pt>
                <c:pt idx="3">
                  <c:v>17</c:v>
                </c:pt>
                <c:pt idx="4">
                  <c:v>23</c:v>
                </c:pt>
                <c:pt idx="5">
                  <c:v>30</c:v>
                </c:pt>
                <c:pt idx="6">
                  <c:v>37</c:v>
                </c:pt>
                <c:pt idx="7">
                  <c:v>45</c:v>
                </c:pt>
                <c:pt idx="8">
                  <c:v>53</c:v>
                </c:pt>
                <c:pt idx="9">
                  <c:v>62</c:v>
                </c:pt>
                <c:pt idx="10">
                  <c:v>70</c:v>
                </c:pt>
                <c:pt idx="11">
                  <c:v>79</c:v>
                </c:pt>
                <c:pt idx="12">
                  <c:v>88</c:v>
                </c:pt>
                <c:pt idx="13">
                  <c:v>97</c:v>
                </c:pt>
                <c:pt idx="14">
                  <c:v>106</c:v>
                </c:pt>
              </c:numCache>
            </c:numRef>
          </c:val>
          <c:extLst>
            <c:ext xmlns:c16="http://schemas.microsoft.com/office/drawing/2014/chart" uri="{C3380CC4-5D6E-409C-BE32-E72D297353CC}">
              <c16:uniqueId val="{00000000-3AF0-4E0D-A862-35E35D46EABA}"/>
            </c:ext>
          </c:extLst>
        </c:ser>
        <c:ser>
          <c:idx val="1"/>
          <c:order val="1"/>
          <c:tx>
            <c:strRef>
              <c:f>'2.1. Tot. elec. demand'!$G$195</c:f>
              <c:strCache>
                <c:ptCount val="1"/>
                <c:pt idx="0">
                  <c:v>GW HP</c:v>
                </c:pt>
              </c:strCache>
            </c:strRef>
          </c:tx>
          <c:spPr>
            <a:solidFill>
              <a:schemeClr val="accent6">
                <a:lumMod val="40000"/>
                <a:lumOff val="60000"/>
              </a:schemeClr>
            </a:solidFill>
            <a:ln>
              <a:noFill/>
            </a:ln>
            <a:effectLst/>
          </c:spPr>
          <c:invertIfNegative val="0"/>
          <c:cat>
            <c:numRef>
              <c:f>'2.1. Tot. elec. demand'!$C$196:$C$210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demand'!$G$236:$G$250</c:f>
              <c:numCache>
                <c:formatCode>0</c:formatCode>
                <c:ptCount val="15"/>
                <c:pt idx="0">
                  <c:v>1</c:v>
                </c:pt>
                <c:pt idx="1">
                  <c:v>2</c:v>
                </c:pt>
                <c:pt idx="2">
                  <c:v>3</c:v>
                </c:pt>
                <c:pt idx="3">
                  <c:v>4</c:v>
                </c:pt>
                <c:pt idx="4">
                  <c:v>5</c:v>
                </c:pt>
                <c:pt idx="5">
                  <c:v>7</c:v>
                </c:pt>
                <c:pt idx="6">
                  <c:v>8</c:v>
                </c:pt>
                <c:pt idx="7">
                  <c:v>10</c:v>
                </c:pt>
                <c:pt idx="8">
                  <c:v>11</c:v>
                </c:pt>
                <c:pt idx="9">
                  <c:v>13</c:v>
                </c:pt>
                <c:pt idx="10">
                  <c:v>15</c:v>
                </c:pt>
                <c:pt idx="11">
                  <c:v>17</c:v>
                </c:pt>
                <c:pt idx="12">
                  <c:v>19</c:v>
                </c:pt>
                <c:pt idx="13">
                  <c:v>21</c:v>
                </c:pt>
                <c:pt idx="14">
                  <c:v>23</c:v>
                </c:pt>
              </c:numCache>
            </c:numRef>
          </c:val>
          <c:extLst>
            <c:ext xmlns:c16="http://schemas.microsoft.com/office/drawing/2014/chart" uri="{C3380CC4-5D6E-409C-BE32-E72D297353CC}">
              <c16:uniqueId val="{00000001-3AF0-4E0D-A862-35E35D46EABA}"/>
            </c:ext>
          </c:extLst>
        </c:ser>
        <c:ser>
          <c:idx val="0"/>
          <c:order val="2"/>
          <c:tx>
            <c:strRef>
              <c:f>'2.1. Tot. elec. demand'!$E$195</c:f>
              <c:strCache>
                <c:ptCount val="1"/>
                <c:pt idx="0">
                  <c:v>AA HP</c:v>
                </c:pt>
              </c:strCache>
            </c:strRef>
          </c:tx>
          <c:spPr>
            <a:solidFill>
              <a:schemeClr val="accent1">
                <a:lumMod val="40000"/>
                <a:lumOff val="60000"/>
              </a:schemeClr>
            </a:solidFill>
            <a:ln>
              <a:noFill/>
            </a:ln>
            <a:effectLst/>
          </c:spPr>
          <c:invertIfNegative val="0"/>
          <c:cat>
            <c:numRef>
              <c:f>'2.1. Tot. elec. demand'!$C$196:$C$210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demand'!$E$236:$E$250</c:f>
              <c:numCache>
                <c:formatCode>0</c:formatCode>
                <c:ptCount val="15"/>
                <c:pt idx="0">
                  <c:v>6</c:v>
                </c:pt>
                <c:pt idx="1">
                  <c:v>6</c:v>
                </c:pt>
                <c:pt idx="2">
                  <c:v>7</c:v>
                </c:pt>
                <c:pt idx="3">
                  <c:v>8</c:v>
                </c:pt>
                <c:pt idx="4">
                  <c:v>9</c:v>
                </c:pt>
                <c:pt idx="5">
                  <c:v>10</c:v>
                </c:pt>
                <c:pt idx="6">
                  <c:v>11</c:v>
                </c:pt>
                <c:pt idx="7">
                  <c:v>13</c:v>
                </c:pt>
                <c:pt idx="8">
                  <c:v>15</c:v>
                </c:pt>
                <c:pt idx="9">
                  <c:v>16</c:v>
                </c:pt>
                <c:pt idx="10">
                  <c:v>18</c:v>
                </c:pt>
                <c:pt idx="11">
                  <c:v>20</c:v>
                </c:pt>
                <c:pt idx="12">
                  <c:v>23</c:v>
                </c:pt>
                <c:pt idx="13">
                  <c:v>25</c:v>
                </c:pt>
                <c:pt idx="14">
                  <c:v>27</c:v>
                </c:pt>
              </c:numCache>
            </c:numRef>
          </c:val>
          <c:extLst>
            <c:ext xmlns:c16="http://schemas.microsoft.com/office/drawing/2014/chart" uri="{C3380CC4-5D6E-409C-BE32-E72D297353CC}">
              <c16:uniqueId val="{00000002-3AF0-4E0D-A862-35E35D46EABA}"/>
            </c:ext>
          </c:extLst>
        </c:ser>
        <c:ser>
          <c:idx val="3"/>
          <c:order val="3"/>
          <c:tx>
            <c:strRef>
              <c:f>'2.1. Tot. elec. demand'!$H$195</c:f>
              <c:strCache>
                <c:ptCount val="1"/>
                <c:pt idx="0">
                  <c:v>HP as secondary 
heat*</c:v>
                </c:pt>
              </c:strCache>
            </c:strRef>
          </c:tx>
          <c:spPr>
            <a:solidFill>
              <a:schemeClr val="accent5">
                <a:lumMod val="40000"/>
                <a:lumOff val="60000"/>
              </a:schemeClr>
            </a:solidFill>
            <a:ln>
              <a:noFill/>
            </a:ln>
            <a:effectLst/>
          </c:spPr>
          <c:invertIfNegative val="0"/>
          <c:cat>
            <c:numRef>
              <c:f>'2.1. Tot. elec. demand'!$C$196:$C$210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demand'!$H$236:$H$250</c:f>
              <c:numCache>
                <c:formatCode>0</c:formatCode>
                <c:ptCount val="15"/>
                <c:pt idx="0">
                  <c:v>22</c:v>
                </c:pt>
                <c:pt idx="1">
                  <c:v>24</c:v>
                </c:pt>
                <c:pt idx="2">
                  <c:v>26</c:v>
                </c:pt>
                <c:pt idx="3">
                  <c:v>29</c:v>
                </c:pt>
                <c:pt idx="4">
                  <c:v>33</c:v>
                </c:pt>
                <c:pt idx="5">
                  <c:v>36</c:v>
                </c:pt>
                <c:pt idx="6">
                  <c:v>41</c:v>
                </c:pt>
                <c:pt idx="7">
                  <c:v>46</c:v>
                </c:pt>
                <c:pt idx="8">
                  <c:v>51</c:v>
                </c:pt>
                <c:pt idx="9">
                  <c:v>55</c:v>
                </c:pt>
                <c:pt idx="10">
                  <c:v>60</c:v>
                </c:pt>
                <c:pt idx="11">
                  <c:v>64</c:v>
                </c:pt>
                <c:pt idx="12">
                  <c:v>69</c:v>
                </c:pt>
                <c:pt idx="13">
                  <c:v>73</c:v>
                </c:pt>
                <c:pt idx="14">
                  <c:v>76</c:v>
                </c:pt>
              </c:numCache>
            </c:numRef>
          </c:val>
          <c:extLst>
            <c:ext xmlns:c16="http://schemas.microsoft.com/office/drawing/2014/chart" uri="{C3380CC4-5D6E-409C-BE32-E72D297353CC}">
              <c16:uniqueId val="{00000003-3AF0-4E0D-A862-35E35D46EABA}"/>
            </c:ext>
          </c:extLst>
        </c:ser>
        <c:dLbls>
          <c:showLegendKey val="0"/>
          <c:showVal val="0"/>
          <c:showCatName val="0"/>
          <c:showSerName val="0"/>
          <c:showPercent val="0"/>
          <c:showBubbleSize val="0"/>
        </c:dLbls>
        <c:gapWidth val="219"/>
        <c:overlap val="100"/>
        <c:axId val="831915352"/>
        <c:axId val="831918632"/>
      </c:barChart>
      <c:lineChart>
        <c:grouping val="standard"/>
        <c:varyColors val="0"/>
        <c:ser>
          <c:idx val="4"/>
          <c:order val="4"/>
          <c:tx>
            <c:strRef>
              <c:f>'2.1. Tot. elec. demand'!$I$195</c:f>
              <c:strCache>
                <c:ptCount val="1"/>
                <c:pt idx="0">
                  <c:v>Total</c:v>
                </c:pt>
              </c:strCache>
            </c:strRef>
          </c:tx>
          <c:spPr>
            <a:ln w="28575" cap="rnd">
              <a:solidFill>
                <a:schemeClr val="tx1"/>
              </a:solidFill>
              <a:round/>
            </a:ln>
            <a:effectLst/>
          </c:spPr>
          <c:marker>
            <c:symbol val="circle"/>
            <c:size val="5"/>
            <c:spPr>
              <a:solidFill>
                <a:schemeClr val="accent3"/>
              </a:solidFill>
              <a:ln w="9525">
                <a:solidFill>
                  <a:schemeClr val="tx1"/>
                </a:solidFill>
              </a:ln>
              <a:effectLst/>
            </c:spPr>
          </c:marker>
          <c:val>
            <c:numRef>
              <c:f>'2.1. Tot. elec. demand'!$I$236:$I$250</c:f>
              <c:numCache>
                <c:formatCode>0</c:formatCode>
                <c:ptCount val="15"/>
                <c:pt idx="0">
                  <c:v>31</c:v>
                </c:pt>
                <c:pt idx="1">
                  <c:v>38</c:v>
                </c:pt>
                <c:pt idx="2">
                  <c:v>47</c:v>
                </c:pt>
                <c:pt idx="3">
                  <c:v>58</c:v>
                </c:pt>
                <c:pt idx="4">
                  <c:v>70</c:v>
                </c:pt>
                <c:pt idx="5">
                  <c:v>83</c:v>
                </c:pt>
                <c:pt idx="6">
                  <c:v>97</c:v>
                </c:pt>
                <c:pt idx="7">
                  <c:v>114</c:v>
                </c:pt>
                <c:pt idx="8">
                  <c:v>130</c:v>
                </c:pt>
                <c:pt idx="9">
                  <c:v>146</c:v>
                </c:pt>
                <c:pt idx="10">
                  <c:v>163</c:v>
                </c:pt>
                <c:pt idx="11">
                  <c:v>180</c:v>
                </c:pt>
                <c:pt idx="12">
                  <c:v>199</c:v>
                </c:pt>
                <c:pt idx="13">
                  <c:v>216</c:v>
                </c:pt>
                <c:pt idx="14">
                  <c:v>232</c:v>
                </c:pt>
              </c:numCache>
            </c:numRef>
          </c:val>
          <c:smooth val="0"/>
          <c:extLst>
            <c:ext xmlns:c16="http://schemas.microsoft.com/office/drawing/2014/chart" uri="{C3380CC4-5D6E-409C-BE32-E72D297353CC}">
              <c16:uniqueId val="{00000004-3AF0-4E0D-A862-35E35D46EABA}"/>
            </c:ext>
          </c:extLst>
        </c:ser>
        <c:dLbls>
          <c:showLegendKey val="0"/>
          <c:showVal val="0"/>
          <c:showCatName val="0"/>
          <c:showSerName val="0"/>
          <c:showPercent val="0"/>
          <c:showBubbleSize val="0"/>
        </c:dLbls>
        <c:marker val="1"/>
        <c:smooth val="0"/>
        <c:axId val="831915352"/>
        <c:axId val="831918632"/>
      </c:lineChart>
      <c:lineChart>
        <c:grouping val="standard"/>
        <c:varyColors val="0"/>
        <c:ser>
          <c:idx val="5"/>
          <c:order val="5"/>
          <c:tx>
            <c:strRef>
              <c:f>'2.1. Tot. elec. demand'!$J$235</c:f>
              <c:strCache>
                <c:ptCount val="1"/>
                <c:pt idx="0">
                  <c:v>equivalent % of stock</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'2.1. Tot. elec. demand'!$C$196:$C$210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demand'!$J$236:$J$250</c:f>
              <c:numCache>
                <c:formatCode>0%</c:formatCode>
                <c:ptCount val="15"/>
                <c:pt idx="0">
                  <c:v>3.9E-2</c:v>
                </c:pt>
                <c:pt idx="1">
                  <c:v>4.9000000000000002E-2</c:v>
                </c:pt>
                <c:pt idx="2">
                  <c:v>0.06</c:v>
                </c:pt>
                <c:pt idx="3">
                  <c:v>7.3999999999999996E-2</c:v>
                </c:pt>
                <c:pt idx="4">
                  <c:v>8.8999999999999996E-2</c:v>
                </c:pt>
                <c:pt idx="5">
                  <c:v>0.107</c:v>
                </c:pt>
                <c:pt idx="6">
                  <c:v>0.126</c:v>
                </c:pt>
                <c:pt idx="7">
                  <c:v>0.14599999999999999</c:v>
                </c:pt>
                <c:pt idx="8">
                  <c:v>0.16900000000000001</c:v>
                </c:pt>
                <c:pt idx="9">
                  <c:v>0.191</c:v>
                </c:pt>
                <c:pt idx="10">
                  <c:v>0.21299999999999999</c:v>
                </c:pt>
                <c:pt idx="11">
                  <c:v>0.23599999999999999</c:v>
                </c:pt>
                <c:pt idx="12">
                  <c:v>0.25900000000000001</c:v>
                </c:pt>
                <c:pt idx="13">
                  <c:v>0.28299999999999997</c:v>
                </c:pt>
                <c:pt idx="14">
                  <c:v>0.30599999999999999</c:v>
                </c:pt>
              </c:numCache>
            </c:numRef>
          </c:val>
          <c:smooth val="0"/>
          <c:extLst>
            <c:ext xmlns:c16="http://schemas.microsoft.com/office/drawing/2014/chart" uri="{C3380CC4-5D6E-409C-BE32-E72D297353CC}">
              <c16:uniqueId val="{00000005-3AF0-4E0D-A862-35E35D46EABA}"/>
            </c:ext>
          </c:extLst>
        </c:ser>
        <c:dLbls>
          <c:showLegendKey val="0"/>
          <c:showVal val="0"/>
          <c:showCatName val="0"/>
          <c:showSerName val="0"/>
          <c:showPercent val="0"/>
          <c:showBubbleSize val="0"/>
        </c:dLbls>
        <c:marker val="1"/>
        <c:smooth val="0"/>
        <c:axId val="799529856"/>
        <c:axId val="973601248"/>
      </c:lineChart>
      <c:catAx>
        <c:axId val="83191535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nl-BE" sz="900" b="1"/>
                  <a:t>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8632"/>
        <c:crosses val="autoZero"/>
        <c:auto val="1"/>
        <c:lblAlgn val="ctr"/>
        <c:lblOffset val="100"/>
        <c:noMultiLvlLbl val="0"/>
      </c:catAx>
      <c:valAx>
        <c:axId val="831918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 HP [k]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5352"/>
        <c:crosses val="autoZero"/>
        <c:crossBetween val="between"/>
      </c:valAx>
      <c:valAx>
        <c:axId val="973601248"/>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Sahre of total Stock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99529856"/>
        <c:crosses val="max"/>
        <c:crossBetween val="between"/>
      </c:valAx>
      <c:catAx>
        <c:axId val="799529856"/>
        <c:scaling>
          <c:orientation val="minMax"/>
        </c:scaling>
        <c:delete val="1"/>
        <c:axPos val="b"/>
        <c:numFmt formatCode="General" sourceLinked="1"/>
        <c:majorTickMark val="out"/>
        <c:minorTickMark val="none"/>
        <c:tickLblPos val="nextTo"/>
        <c:crossAx val="973601248"/>
        <c:crosses val="autoZero"/>
        <c:auto val="1"/>
        <c:lblAlgn val="ctr"/>
        <c:lblOffset val="100"/>
        <c:noMultiLvlLbl val="0"/>
      </c:catAx>
      <c:spPr>
        <a:noFill/>
        <a:ln>
          <a:noFill/>
        </a:ln>
        <a:effectLst/>
      </c:spPr>
    </c:plotArea>
    <c:legend>
      <c:legendPos val="b"/>
      <c:layout>
        <c:manualLayout>
          <c:xMode val="edge"/>
          <c:yMode val="edge"/>
          <c:x val="0.17625978091206398"/>
          <c:y val="0.92302809133980135"/>
          <c:w val="0.70710664930444889"/>
          <c:h val="7.211586509325490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69362143243324E-2"/>
          <c:y val="4.7680791944847284E-2"/>
          <c:w val="0.87423333359384836"/>
          <c:h val="0.71901205642325439"/>
        </c:manualLayout>
      </c:layout>
      <c:areaChart>
        <c:grouping val="stacked"/>
        <c:varyColors val="0"/>
        <c:ser>
          <c:idx val="1"/>
          <c:order val="0"/>
          <c:tx>
            <c:strRef>
              <c:f>'2.1. Tot. elec. demand'!$E$269</c:f>
              <c:strCache>
                <c:ptCount val="1"/>
                <c:pt idx="0">
                  <c:v>Industry - Low</c:v>
                </c:pt>
              </c:strCache>
            </c:strRef>
          </c:tx>
          <c:spPr>
            <a:noFill/>
          </c:spPr>
          <c:dLbls>
            <c:delete val="1"/>
          </c:dLbls>
          <c:cat>
            <c:numRef>
              <c:f>'2.1. Tot. elec. demand'!$C$270:$C$284</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demand'!$E$270:$E$284</c:f>
              <c:numCache>
                <c:formatCode>0</c:formatCode>
                <c:ptCount val="15"/>
                <c:pt idx="0">
                  <c:v>0</c:v>
                </c:pt>
                <c:pt idx="1">
                  <c:v>0</c:v>
                </c:pt>
                <c:pt idx="2">
                  <c:v>0</c:v>
                </c:pt>
                <c:pt idx="3">
                  <c:v>0</c:v>
                </c:pt>
                <c:pt idx="4">
                  <c:v>0</c:v>
                </c:pt>
                <c:pt idx="5">
                  <c:v>0.1</c:v>
                </c:pt>
                <c:pt idx="6">
                  <c:v>0.4</c:v>
                </c:pt>
                <c:pt idx="7">
                  <c:v>2.4</c:v>
                </c:pt>
                <c:pt idx="8">
                  <c:v>6</c:v>
                </c:pt>
                <c:pt idx="9" formatCode="0.0">
                  <c:v>9</c:v>
                </c:pt>
                <c:pt idx="10">
                  <c:v>10.6</c:v>
                </c:pt>
                <c:pt idx="11">
                  <c:v>11.9</c:v>
                </c:pt>
                <c:pt idx="12">
                  <c:v>12.8</c:v>
                </c:pt>
                <c:pt idx="13">
                  <c:v>13.4</c:v>
                </c:pt>
                <c:pt idx="14" formatCode="0.0">
                  <c:v>14.5</c:v>
                </c:pt>
              </c:numCache>
            </c:numRef>
          </c:val>
          <c:extLst>
            <c:ext xmlns:c16="http://schemas.microsoft.com/office/drawing/2014/chart" uri="{C3380CC4-5D6E-409C-BE32-E72D297353CC}">
              <c16:uniqueId val="{00000000-5B2C-4579-AC33-C3F8070BC5C8}"/>
            </c:ext>
          </c:extLst>
        </c:ser>
        <c:ser>
          <c:idx val="5"/>
          <c:order val="1"/>
          <c:tx>
            <c:strRef>
              <c:f>'2.1. Tot. elec. demand'!$B$267</c:f>
              <c:strCache>
                <c:ptCount val="1"/>
                <c:pt idx="0">
                  <c:v>Additional electrification in industry</c:v>
                </c:pt>
              </c:strCache>
            </c:strRef>
          </c:tx>
          <c:spPr>
            <a:solidFill>
              <a:schemeClr val="bg1">
                <a:lumMod val="85000"/>
              </a:schemeClr>
            </a:solidFill>
            <a:ln w="28575">
              <a:noFill/>
            </a:ln>
          </c:spPr>
          <c:dLbls>
            <c:delete val="1"/>
          </c:dLbls>
          <c:cat>
            <c:numRef>
              <c:f>'2.1. Tot. elec. demand'!$C$270:$C$284</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demand'!$H$270:$H$284</c:f>
              <c:numCache>
                <c:formatCode>0</c:formatCode>
                <c:ptCount val="15"/>
                <c:pt idx="0">
                  <c:v>0</c:v>
                </c:pt>
                <c:pt idx="1">
                  <c:v>0</c:v>
                </c:pt>
                <c:pt idx="2">
                  <c:v>1.1000000000000001</c:v>
                </c:pt>
                <c:pt idx="3">
                  <c:v>2.1</c:v>
                </c:pt>
                <c:pt idx="4">
                  <c:v>3.8</c:v>
                </c:pt>
                <c:pt idx="5">
                  <c:v>6.2</c:v>
                </c:pt>
                <c:pt idx="6">
                  <c:v>9.1</c:v>
                </c:pt>
                <c:pt idx="7">
                  <c:v>10.4</c:v>
                </c:pt>
                <c:pt idx="8">
                  <c:v>10</c:v>
                </c:pt>
                <c:pt idx="9">
                  <c:v>10.100000000000001</c:v>
                </c:pt>
                <c:pt idx="10">
                  <c:v>10.6</c:v>
                </c:pt>
                <c:pt idx="11">
                  <c:v>11.299999999999999</c:v>
                </c:pt>
                <c:pt idx="12">
                  <c:v>12.5</c:v>
                </c:pt>
                <c:pt idx="13">
                  <c:v>13.9</c:v>
                </c:pt>
                <c:pt idx="14">
                  <c:v>14.899999999999999</c:v>
                </c:pt>
              </c:numCache>
            </c:numRef>
          </c:val>
          <c:extLst>
            <c:ext xmlns:c16="http://schemas.microsoft.com/office/drawing/2014/chart" uri="{C3380CC4-5D6E-409C-BE32-E72D297353CC}">
              <c16:uniqueId val="{00000001-5B2C-4579-AC33-C3F8070BC5C8}"/>
            </c:ext>
          </c:extLst>
        </c:ser>
        <c:dLbls>
          <c:showLegendKey val="0"/>
          <c:showVal val="1"/>
          <c:showCatName val="0"/>
          <c:showSerName val="0"/>
          <c:showPercent val="0"/>
          <c:showBubbleSize val="0"/>
        </c:dLbls>
        <c:axId val="752692968"/>
        <c:axId val="752696904"/>
      </c:areaChart>
      <c:lineChart>
        <c:grouping val="standard"/>
        <c:varyColors val="0"/>
        <c:ser>
          <c:idx val="0"/>
          <c:order val="2"/>
          <c:tx>
            <c:strRef>
              <c:f>'2.1. Tot. elec. demand'!$E$269</c:f>
              <c:strCache>
                <c:ptCount val="1"/>
                <c:pt idx="0">
                  <c:v>Industry - Low</c:v>
                </c:pt>
              </c:strCache>
            </c:strRef>
          </c:tx>
          <c:spPr>
            <a:ln>
              <a:solidFill>
                <a:srgbClr val="92D050"/>
              </a:solidFill>
            </a:ln>
          </c:spPr>
          <c:marker>
            <c:spPr>
              <a:solidFill>
                <a:srgbClr val="92D050"/>
              </a:solidFill>
              <a:ln>
                <a:solidFill>
                  <a:srgbClr val="92D050"/>
                </a:solidFill>
              </a:ln>
            </c:spPr>
          </c:marker>
          <c:dLbls>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2C-4579-AC33-C3F8070BC5C8}"/>
                </c:ext>
              </c:extLst>
            </c:dLbl>
            <c:dLbl>
              <c:idx val="1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2C-4579-AC33-C3F8070BC5C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'2.1. Tot. elec. demand'!$C$270:$C$284</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demand'!$E$270:$E$284</c:f>
              <c:numCache>
                <c:formatCode>0</c:formatCode>
                <c:ptCount val="15"/>
                <c:pt idx="0">
                  <c:v>0</c:v>
                </c:pt>
                <c:pt idx="1">
                  <c:v>0</c:v>
                </c:pt>
                <c:pt idx="2">
                  <c:v>0</c:v>
                </c:pt>
                <c:pt idx="3">
                  <c:v>0</c:v>
                </c:pt>
                <c:pt idx="4">
                  <c:v>0</c:v>
                </c:pt>
                <c:pt idx="5">
                  <c:v>0.1</c:v>
                </c:pt>
                <c:pt idx="6">
                  <c:v>0.4</c:v>
                </c:pt>
                <c:pt idx="7">
                  <c:v>2.4</c:v>
                </c:pt>
                <c:pt idx="8">
                  <c:v>6</c:v>
                </c:pt>
                <c:pt idx="9" formatCode="0.0">
                  <c:v>9</c:v>
                </c:pt>
                <c:pt idx="10">
                  <c:v>10.6</c:v>
                </c:pt>
                <c:pt idx="11">
                  <c:v>11.9</c:v>
                </c:pt>
                <c:pt idx="12">
                  <c:v>12.8</c:v>
                </c:pt>
                <c:pt idx="13">
                  <c:v>13.4</c:v>
                </c:pt>
                <c:pt idx="14" formatCode="0.0">
                  <c:v>14.5</c:v>
                </c:pt>
              </c:numCache>
            </c:numRef>
          </c:val>
          <c:smooth val="0"/>
          <c:extLst>
            <c:ext xmlns:c16="http://schemas.microsoft.com/office/drawing/2014/chart" uri="{C3380CC4-5D6E-409C-BE32-E72D297353CC}">
              <c16:uniqueId val="{00000004-5B2C-4579-AC33-C3F8070BC5C8}"/>
            </c:ext>
          </c:extLst>
        </c:ser>
        <c:ser>
          <c:idx val="2"/>
          <c:order val="3"/>
          <c:tx>
            <c:strRef>
              <c:f>'2.1. Tot. elec. demand'!$F$269</c:f>
              <c:strCache>
                <c:ptCount val="1"/>
                <c:pt idx="0">
                  <c:v>Industry - High</c:v>
                </c:pt>
              </c:strCache>
            </c:strRef>
          </c:tx>
          <c:spPr>
            <a:ln>
              <a:solidFill>
                <a:schemeClr val="accent6"/>
              </a:solidFill>
            </a:ln>
          </c:spPr>
          <c:marker>
            <c:spPr>
              <a:solidFill>
                <a:schemeClr val="accent6"/>
              </a:solidFill>
              <a:ln>
                <a:solidFill>
                  <a:schemeClr val="accent6"/>
                </a:solidFill>
              </a:ln>
            </c:spPr>
          </c:marker>
          <c:dLbls>
            <c:dLbl>
              <c:idx val="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2C-4579-AC33-C3F8070BC5C8}"/>
                </c:ext>
              </c:extLst>
            </c:dLbl>
            <c:dLbl>
              <c:idx val="1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B2C-4579-AC33-C3F8070BC5C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'2.1. Tot. elec. demand'!$C$270:$C$284</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demand'!$F$270:$F$284</c:f>
              <c:numCache>
                <c:formatCode>0</c:formatCode>
                <c:ptCount val="15"/>
                <c:pt idx="0">
                  <c:v>0</c:v>
                </c:pt>
                <c:pt idx="1">
                  <c:v>0</c:v>
                </c:pt>
                <c:pt idx="2">
                  <c:v>1.1000000000000001</c:v>
                </c:pt>
                <c:pt idx="3">
                  <c:v>2.1</c:v>
                </c:pt>
                <c:pt idx="4">
                  <c:v>3.8</c:v>
                </c:pt>
                <c:pt idx="5">
                  <c:v>6.3</c:v>
                </c:pt>
                <c:pt idx="6">
                  <c:v>9.5</c:v>
                </c:pt>
                <c:pt idx="7">
                  <c:v>12.8</c:v>
                </c:pt>
                <c:pt idx="8">
                  <c:v>16</c:v>
                </c:pt>
                <c:pt idx="9" formatCode="0.0">
                  <c:v>19.100000000000001</c:v>
                </c:pt>
                <c:pt idx="10">
                  <c:v>21.2</c:v>
                </c:pt>
                <c:pt idx="11">
                  <c:v>23.2</c:v>
                </c:pt>
                <c:pt idx="12">
                  <c:v>25.3</c:v>
                </c:pt>
                <c:pt idx="13">
                  <c:v>27.3</c:v>
                </c:pt>
                <c:pt idx="14" formatCode="0.0">
                  <c:v>29.4</c:v>
                </c:pt>
              </c:numCache>
            </c:numRef>
          </c:val>
          <c:smooth val="0"/>
          <c:extLst>
            <c:ext xmlns:c16="http://schemas.microsoft.com/office/drawing/2014/chart" uri="{C3380CC4-5D6E-409C-BE32-E72D297353CC}">
              <c16:uniqueId val="{00000007-5B2C-4579-AC33-C3F8070BC5C8}"/>
            </c:ext>
          </c:extLst>
        </c:ser>
        <c:dLbls>
          <c:showLegendKey val="0"/>
          <c:showVal val="0"/>
          <c:showCatName val="0"/>
          <c:showSerName val="0"/>
          <c:showPercent val="0"/>
          <c:showBubbleSize val="0"/>
        </c:dLbls>
        <c:marker val="1"/>
        <c:smooth val="0"/>
        <c:axId val="752692968"/>
        <c:axId val="752696904"/>
      </c:lineChart>
      <c:catAx>
        <c:axId val="752692968"/>
        <c:scaling>
          <c:orientation val="minMax"/>
        </c:scaling>
        <c:delete val="0"/>
        <c:axPos val="b"/>
        <c:title>
          <c:tx>
            <c:rich>
              <a:bodyPr/>
              <a:lstStyle/>
              <a:p>
                <a:pPr>
                  <a:defRPr sz="900">
                    <a:solidFill>
                      <a:schemeClr val="tx1">
                        <a:lumMod val="65000"/>
                        <a:lumOff val="35000"/>
                      </a:schemeClr>
                    </a:solidFill>
                  </a:defRPr>
                </a:pPr>
                <a:r>
                  <a:rPr lang="nl-BE" sz="900">
                    <a:solidFill>
                      <a:schemeClr val="tx1">
                        <a:lumMod val="65000"/>
                        <a:lumOff val="35000"/>
                      </a:schemeClr>
                    </a:solidFill>
                  </a:rPr>
                  <a:t>Year</a:t>
                </a:r>
              </a:p>
            </c:rich>
          </c:tx>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52696904"/>
        <c:crosses val="autoZero"/>
        <c:auto val="1"/>
        <c:lblAlgn val="ctr"/>
        <c:lblOffset val="100"/>
        <c:noMultiLvlLbl val="0"/>
      </c:catAx>
      <c:valAx>
        <c:axId val="752696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900">
                    <a:solidFill>
                      <a:schemeClr val="tx1">
                        <a:lumMod val="65000"/>
                        <a:lumOff val="35000"/>
                      </a:schemeClr>
                    </a:solidFill>
                  </a:defRPr>
                </a:pPr>
                <a:r>
                  <a:rPr lang="nl-BE" sz="900">
                    <a:solidFill>
                      <a:schemeClr val="tx1">
                        <a:lumMod val="65000"/>
                        <a:lumOff val="35000"/>
                      </a:schemeClr>
                    </a:solidFill>
                  </a:rPr>
                  <a:t>[TWh]</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52692968"/>
        <c:crosses val="autoZero"/>
        <c:crossBetween val="between"/>
      </c:valAx>
    </c:plotArea>
    <c:legend>
      <c:legendPos val="b"/>
      <c:legendEntry>
        <c:idx val="0"/>
        <c:delete val="1"/>
      </c:legendEntry>
      <c:overlay val="0"/>
    </c:legend>
    <c:plotVisOnly val="1"/>
    <c:dispBlanksAs val="span"/>
    <c:showDLblsOverMax val="0"/>
  </c:chart>
  <c:spPr>
    <a:ln>
      <a:noFill/>
    </a:ln>
  </c:spPr>
  <c:txPr>
    <a:bodyPr/>
    <a:lstStyle/>
    <a:p>
      <a:pPr>
        <a:defRPr/>
      </a:pPr>
      <a:endParaRPr lang="nl-B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69362143243324E-2"/>
          <c:y val="4.7680791944847284E-2"/>
          <c:w val="0.87423333359384836"/>
          <c:h val="0.71540609343155726"/>
        </c:manualLayout>
      </c:layout>
      <c:areaChart>
        <c:grouping val="stacked"/>
        <c:varyColors val="0"/>
        <c:ser>
          <c:idx val="1"/>
          <c:order val="0"/>
          <c:tx>
            <c:strRef>
              <c:f>'2.1. Tot. elec. demand'!$E$269</c:f>
              <c:strCache>
                <c:ptCount val="1"/>
                <c:pt idx="0">
                  <c:v>Industry - Low</c:v>
                </c:pt>
              </c:strCache>
            </c:strRef>
          </c:tx>
          <c:spPr>
            <a:noFill/>
          </c:spPr>
          <c:dLbls>
            <c:delete val="1"/>
          </c:dLbls>
          <c:cat>
            <c:numRef>
              <c:f>'2.1. Tot. elec. demand'!$C$296:$C$310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demand'!$E$296:$E$310</c:f>
              <c:numCache>
                <c:formatCode>0</c:formatCode>
                <c:ptCount val="15"/>
                <c:pt idx="0">
                  <c:v>0</c:v>
                </c:pt>
                <c:pt idx="1">
                  <c:v>0</c:v>
                </c:pt>
                <c:pt idx="2">
                  <c:v>0</c:v>
                </c:pt>
                <c:pt idx="3">
                  <c:v>0</c:v>
                </c:pt>
                <c:pt idx="4">
                  <c:v>0.1</c:v>
                </c:pt>
                <c:pt idx="5">
                  <c:v>0.2</c:v>
                </c:pt>
                <c:pt idx="6">
                  <c:v>0.5</c:v>
                </c:pt>
                <c:pt idx="7">
                  <c:v>1</c:v>
                </c:pt>
                <c:pt idx="8">
                  <c:v>1.5</c:v>
                </c:pt>
                <c:pt idx="9">
                  <c:v>2</c:v>
                </c:pt>
                <c:pt idx="10">
                  <c:v>2.4</c:v>
                </c:pt>
                <c:pt idx="11">
                  <c:v>2.8</c:v>
                </c:pt>
                <c:pt idx="12">
                  <c:v>3.2</c:v>
                </c:pt>
                <c:pt idx="13">
                  <c:v>3.6</c:v>
                </c:pt>
                <c:pt idx="14">
                  <c:v>4</c:v>
                </c:pt>
              </c:numCache>
            </c:numRef>
          </c:val>
          <c:extLst>
            <c:ext xmlns:c16="http://schemas.microsoft.com/office/drawing/2014/chart" uri="{C3380CC4-5D6E-409C-BE32-E72D297353CC}">
              <c16:uniqueId val="{00000000-189A-4026-BA70-E71F75269987}"/>
            </c:ext>
          </c:extLst>
        </c:ser>
        <c:ser>
          <c:idx val="5"/>
          <c:order val="1"/>
          <c:tx>
            <c:strRef>
              <c:f>'2.1. Tot. elec. demand'!$B$287</c:f>
              <c:strCache>
                <c:ptCount val="1"/>
                <c:pt idx="0">
                  <c:v>Additional electrification due to data centers</c:v>
                </c:pt>
              </c:strCache>
            </c:strRef>
          </c:tx>
          <c:spPr>
            <a:solidFill>
              <a:schemeClr val="bg1">
                <a:lumMod val="85000"/>
              </a:schemeClr>
            </a:solidFill>
            <a:ln w="28575">
              <a:noFill/>
            </a:ln>
          </c:spPr>
          <c:dLbls>
            <c:delete val="1"/>
          </c:dLbls>
          <c:cat>
            <c:numRef>
              <c:f>'2.1. Tot. elec. demand'!$C$296:$C$310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demand'!$H$296:$H$310</c:f>
              <c:numCache>
                <c:formatCode>0</c:formatCode>
                <c:ptCount val="15"/>
                <c:pt idx="0">
                  <c:v>0</c:v>
                </c:pt>
                <c:pt idx="1">
                  <c:v>0</c:v>
                </c:pt>
                <c:pt idx="2">
                  <c:v>0.2</c:v>
                </c:pt>
                <c:pt idx="3">
                  <c:v>0.3</c:v>
                </c:pt>
                <c:pt idx="4">
                  <c:v>0.5</c:v>
                </c:pt>
                <c:pt idx="5">
                  <c:v>0.8</c:v>
                </c:pt>
                <c:pt idx="6">
                  <c:v>1</c:v>
                </c:pt>
                <c:pt idx="7">
                  <c:v>1</c:v>
                </c:pt>
                <c:pt idx="8">
                  <c:v>1</c:v>
                </c:pt>
                <c:pt idx="9">
                  <c:v>1</c:v>
                </c:pt>
                <c:pt idx="10">
                  <c:v>1.2000000000000002</c:v>
                </c:pt>
                <c:pt idx="11">
                  <c:v>1.4000000000000004</c:v>
                </c:pt>
                <c:pt idx="12">
                  <c:v>1.5999999999999996</c:v>
                </c:pt>
                <c:pt idx="13">
                  <c:v>1.8000000000000003</c:v>
                </c:pt>
                <c:pt idx="14">
                  <c:v>2</c:v>
                </c:pt>
              </c:numCache>
            </c:numRef>
          </c:val>
          <c:extLst>
            <c:ext xmlns:c16="http://schemas.microsoft.com/office/drawing/2014/chart" uri="{C3380CC4-5D6E-409C-BE32-E72D297353CC}">
              <c16:uniqueId val="{00000001-189A-4026-BA70-E71F75269987}"/>
            </c:ext>
          </c:extLst>
        </c:ser>
        <c:dLbls>
          <c:showLegendKey val="0"/>
          <c:showVal val="1"/>
          <c:showCatName val="0"/>
          <c:showSerName val="0"/>
          <c:showPercent val="0"/>
          <c:showBubbleSize val="0"/>
        </c:dLbls>
        <c:axId val="752692968"/>
        <c:axId val="752696904"/>
      </c:areaChart>
      <c:lineChart>
        <c:grouping val="standard"/>
        <c:varyColors val="0"/>
        <c:ser>
          <c:idx val="0"/>
          <c:order val="2"/>
          <c:tx>
            <c:strRef>
              <c:f>'2.1. Tot. elec. demand'!$E$295</c:f>
              <c:strCache>
                <c:ptCount val="1"/>
                <c:pt idx="0">
                  <c:v>Data Center - Low</c:v>
                </c:pt>
              </c:strCache>
            </c:strRef>
          </c:tx>
          <c:spPr>
            <a:ln>
              <a:solidFill>
                <a:srgbClr val="92D050"/>
              </a:solidFill>
            </a:ln>
          </c:spPr>
          <c:marker>
            <c:spPr>
              <a:solidFill>
                <a:srgbClr val="92D050"/>
              </a:solidFill>
              <a:ln>
                <a:solidFill>
                  <a:srgbClr val="92D050"/>
                </a:solidFill>
              </a:ln>
            </c:spPr>
          </c:marker>
          <c:dLbls>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9A-4026-BA70-E71F75269987}"/>
                </c:ext>
              </c:extLst>
            </c:dLbl>
            <c:dLbl>
              <c:idx val="1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9A-4026-BA70-E71F752699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'2.1. Tot. elec. demand'!$C$296:$C$310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demand'!$E$296:$E$310</c:f>
              <c:numCache>
                <c:formatCode>0</c:formatCode>
                <c:ptCount val="15"/>
                <c:pt idx="0">
                  <c:v>0</c:v>
                </c:pt>
                <c:pt idx="1">
                  <c:v>0</c:v>
                </c:pt>
                <c:pt idx="2">
                  <c:v>0</c:v>
                </c:pt>
                <c:pt idx="3">
                  <c:v>0</c:v>
                </c:pt>
                <c:pt idx="4">
                  <c:v>0.1</c:v>
                </c:pt>
                <c:pt idx="5">
                  <c:v>0.2</c:v>
                </c:pt>
                <c:pt idx="6">
                  <c:v>0.5</c:v>
                </c:pt>
                <c:pt idx="7">
                  <c:v>1</c:v>
                </c:pt>
                <c:pt idx="8">
                  <c:v>1.5</c:v>
                </c:pt>
                <c:pt idx="9">
                  <c:v>2</c:v>
                </c:pt>
                <c:pt idx="10">
                  <c:v>2.4</c:v>
                </c:pt>
                <c:pt idx="11">
                  <c:v>2.8</c:v>
                </c:pt>
                <c:pt idx="12">
                  <c:v>3.2</c:v>
                </c:pt>
                <c:pt idx="13">
                  <c:v>3.6</c:v>
                </c:pt>
                <c:pt idx="14">
                  <c:v>4</c:v>
                </c:pt>
              </c:numCache>
            </c:numRef>
          </c:val>
          <c:smooth val="0"/>
          <c:extLst>
            <c:ext xmlns:c16="http://schemas.microsoft.com/office/drawing/2014/chart" uri="{C3380CC4-5D6E-409C-BE32-E72D297353CC}">
              <c16:uniqueId val="{00000004-189A-4026-BA70-E71F75269987}"/>
            </c:ext>
          </c:extLst>
        </c:ser>
        <c:ser>
          <c:idx val="2"/>
          <c:order val="3"/>
          <c:tx>
            <c:strRef>
              <c:f>'2.1. Tot. elec. demand'!$F$295</c:f>
              <c:strCache>
                <c:ptCount val="1"/>
                <c:pt idx="0">
                  <c:v>Data Center - High</c:v>
                </c:pt>
              </c:strCache>
            </c:strRef>
          </c:tx>
          <c:spPr>
            <a:ln>
              <a:solidFill>
                <a:schemeClr val="accent6"/>
              </a:solidFill>
            </a:ln>
          </c:spPr>
          <c:marker>
            <c:spPr>
              <a:solidFill>
                <a:schemeClr val="accent6"/>
              </a:solidFill>
              <a:ln>
                <a:solidFill>
                  <a:schemeClr val="accent6"/>
                </a:solidFill>
              </a:ln>
            </c:spPr>
          </c:marker>
          <c:dLbls>
            <c:dLbl>
              <c:idx val="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9A-4026-BA70-E71F75269987}"/>
                </c:ext>
              </c:extLst>
            </c:dLbl>
            <c:dLbl>
              <c:idx val="1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9A-4026-BA70-E71F752699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'2.1. Tot. elec. demand'!$C$296:$C$310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demand'!$F$296:$F$310</c:f>
              <c:numCache>
                <c:formatCode>0</c:formatCode>
                <c:ptCount val="15"/>
                <c:pt idx="0">
                  <c:v>0</c:v>
                </c:pt>
                <c:pt idx="1">
                  <c:v>0</c:v>
                </c:pt>
                <c:pt idx="2">
                  <c:v>0.2</c:v>
                </c:pt>
                <c:pt idx="3">
                  <c:v>0.3</c:v>
                </c:pt>
                <c:pt idx="4">
                  <c:v>0.6</c:v>
                </c:pt>
                <c:pt idx="5">
                  <c:v>1</c:v>
                </c:pt>
                <c:pt idx="6">
                  <c:v>1.5</c:v>
                </c:pt>
                <c:pt idx="7">
                  <c:v>2</c:v>
                </c:pt>
                <c:pt idx="8">
                  <c:v>2.5</c:v>
                </c:pt>
                <c:pt idx="9">
                  <c:v>3</c:v>
                </c:pt>
                <c:pt idx="10">
                  <c:v>3.6</c:v>
                </c:pt>
                <c:pt idx="11">
                  <c:v>4.2</c:v>
                </c:pt>
                <c:pt idx="12">
                  <c:v>4.8</c:v>
                </c:pt>
                <c:pt idx="13">
                  <c:v>5.4</c:v>
                </c:pt>
                <c:pt idx="14">
                  <c:v>6</c:v>
                </c:pt>
              </c:numCache>
            </c:numRef>
          </c:val>
          <c:smooth val="0"/>
          <c:extLst>
            <c:ext xmlns:c16="http://schemas.microsoft.com/office/drawing/2014/chart" uri="{C3380CC4-5D6E-409C-BE32-E72D297353CC}">
              <c16:uniqueId val="{00000007-189A-4026-BA70-E71F75269987}"/>
            </c:ext>
          </c:extLst>
        </c:ser>
        <c:dLbls>
          <c:showLegendKey val="0"/>
          <c:showVal val="0"/>
          <c:showCatName val="0"/>
          <c:showSerName val="0"/>
          <c:showPercent val="0"/>
          <c:showBubbleSize val="0"/>
        </c:dLbls>
        <c:marker val="1"/>
        <c:smooth val="0"/>
        <c:axId val="752692968"/>
        <c:axId val="752696904"/>
      </c:lineChart>
      <c:catAx>
        <c:axId val="752692968"/>
        <c:scaling>
          <c:orientation val="minMax"/>
        </c:scaling>
        <c:delete val="0"/>
        <c:axPos val="b"/>
        <c:title>
          <c:tx>
            <c:rich>
              <a:bodyPr/>
              <a:lstStyle/>
              <a:p>
                <a:pPr>
                  <a:defRPr sz="900">
                    <a:solidFill>
                      <a:schemeClr val="tx1">
                        <a:lumMod val="65000"/>
                        <a:lumOff val="35000"/>
                      </a:schemeClr>
                    </a:solidFill>
                  </a:defRPr>
                </a:pPr>
                <a:r>
                  <a:rPr lang="nl-BE" sz="900">
                    <a:solidFill>
                      <a:schemeClr val="tx1">
                        <a:lumMod val="65000"/>
                        <a:lumOff val="35000"/>
                      </a:schemeClr>
                    </a:solidFill>
                  </a:rPr>
                  <a:t>Year</a:t>
                </a:r>
              </a:p>
            </c:rich>
          </c:tx>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52696904"/>
        <c:crosses val="autoZero"/>
        <c:auto val="1"/>
        <c:lblAlgn val="ctr"/>
        <c:lblOffset val="100"/>
        <c:noMultiLvlLbl val="0"/>
      </c:catAx>
      <c:valAx>
        <c:axId val="752696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900">
                    <a:solidFill>
                      <a:schemeClr val="tx1">
                        <a:lumMod val="65000"/>
                        <a:lumOff val="35000"/>
                      </a:schemeClr>
                    </a:solidFill>
                  </a:defRPr>
                </a:pPr>
                <a:r>
                  <a:rPr lang="nl-BE" sz="900">
                    <a:solidFill>
                      <a:schemeClr val="tx1">
                        <a:lumMod val="65000"/>
                        <a:lumOff val="35000"/>
                      </a:schemeClr>
                    </a:solidFill>
                  </a:rPr>
                  <a:t>[TWh]</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52692968"/>
        <c:crosses val="autoZero"/>
        <c:crossBetween val="between"/>
      </c:valAx>
    </c:plotArea>
    <c:legend>
      <c:legendPos val="b"/>
      <c:legendEntry>
        <c:idx val="0"/>
        <c:delete val="1"/>
      </c:legendEntry>
      <c:overlay val="0"/>
    </c:legend>
    <c:plotVisOnly val="1"/>
    <c:dispBlanksAs val="span"/>
    <c:showDLblsOverMax val="0"/>
  </c:chart>
  <c:spPr>
    <a:ln>
      <a:noFill/>
    </a:ln>
  </c:spPr>
  <c:txPr>
    <a:bodyPr/>
    <a:lstStyle/>
    <a:p>
      <a:pPr>
        <a:defRPr/>
      </a:pPr>
      <a:endParaRPr lang="nl-B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Detailed view on existing capacitty</a:t>
            </a:r>
            <a:r>
              <a:rPr lang="nl-BE" baseline="0"/>
              <a:t> [MW] </a:t>
            </a:r>
            <a:r>
              <a:rPr lang="nl-BE"/>
              <a:t>(incl.</a:t>
            </a:r>
            <a:r>
              <a:rPr lang="nl-BE" baseline="0"/>
              <a:t> the ones participating to the ancillary services)</a:t>
            </a:r>
            <a:endParaRPr lang="nl-BE"/>
          </a:p>
        </c:rich>
      </c:tx>
      <c:layout>
        <c:manualLayout>
          <c:xMode val="edge"/>
          <c:yMode val="edge"/>
          <c:x val="0.23728095061207957"/>
          <c:y val="2.04831465895178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7.0892109614099266E-2"/>
          <c:y val="0.10219313619443507"/>
          <c:w val="0.65594614300643417"/>
          <c:h val="0.6908973074218473"/>
        </c:manualLayout>
      </c:layout>
      <c:barChart>
        <c:barDir val="col"/>
        <c:grouping val="stacked"/>
        <c:varyColors val="0"/>
        <c:ser>
          <c:idx val="0"/>
          <c:order val="0"/>
          <c:tx>
            <c:strRef>
              <c:f>'3.2. DSR industry'!$B$19</c:f>
              <c:strCache>
                <c:ptCount val="1"/>
                <c:pt idx="0">
                  <c:v>Max use of 1 hour</c:v>
                </c:pt>
              </c:strCache>
            </c:strRef>
          </c:tx>
          <c:spPr>
            <a:solidFill>
              <a:schemeClr val="accent6">
                <a:lumMod val="60000"/>
                <a:lumOff val="40000"/>
              </a:schemeClr>
            </a:solidFill>
            <a:ln>
              <a:noFill/>
            </a:ln>
            <a:effectLst/>
          </c:spPr>
          <c:invertIfNegative val="0"/>
          <c:cat>
            <c:numRef>
              <c:f>'3.2. DSR industry'!$C$10:$P$10</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'3.2. DSR industry'!$C$19:$P$19</c:f>
              <c:numCache>
                <c:formatCode>0</c:formatCode>
                <c:ptCount val="14"/>
                <c:pt idx="0">
                  <c:v>120</c:v>
                </c:pt>
                <c:pt idx="1">
                  <c:v>130</c:v>
                </c:pt>
                <c:pt idx="2">
                  <c:v>130</c:v>
                </c:pt>
                <c:pt idx="3">
                  <c:v>130</c:v>
                </c:pt>
                <c:pt idx="4">
                  <c:v>130</c:v>
                </c:pt>
                <c:pt idx="5">
                  <c:v>130</c:v>
                </c:pt>
                <c:pt idx="6">
                  <c:v>130</c:v>
                </c:pt>
                <c:pt idx="7">
                  <c:v>130</c:v>
                </c:pt>
                <c:pt idx="8">
                  <c:v>130</c:v>
                </c:pt>
                <c:pt idx="9">
                  <c:v>130</c:v>
                </c:pt>
                <c:pt idx="10">
                  <c:v>130</c:v>
                </c:pt>
                <c:pt idx="11">
                  <c:v>130</c:v>
                </c:pt>
                <c:pt idx="12">
                  <c:v>130</c:v>
                </c:pt>
                <c:pt idx="13">
                  <c:v>130</c:v>
                </c:pt>
              </c:numCache>
            </c:numRef>
          </c:val>
          <c:extLst>
            <c:ext xmlns:c16="http://schemas.microsoft.com/office/drawing/2014/chart" uri="{C3380CC4-5D6E-409C-BE32-E72D297353CC}">
              <c16:uniqueId val="{00000000-8FDC-4CB9-9F61-8357563647C2}"/>
            </c:ext>
          </c:extLst>
        </c:ser>
        <c:ser>
          <c:idx val="1"/>
          <c:order val="1"/>
          <c:tx>
            <c:strRef>
              <c:f>'3.2. DSR industry'!$B$20</c:f>
              <c:strCache>
                <c:ptCount val="1"/>
                <c:pt idx="0">
                  <c:v>Max use of 2 hours</c:v>
                </c:pt>
              </c:strCache>
            </c:strRef>
          </c:tx>
          <c:spPr>
            <a:solidFill>
              <a:schemeClr val="accent2"/>
            </a:solidFill>
            <a:ln>
              <a:noFill/>
            </a:ln>
            <a:effectLst/>
          </c:spPr>
          <c:invertIfNegative val="0"/>
          <c:val>
            <c:numRef>
              <c:f>'3.2. DSR industry'!$C$20:$P$20</c:f>
              <c:numCache>
                <c:formatCode>0</c:formatCode>
                <c:ptCount val="14"/>
                <c:pt idx="0">
                  <c:v>419</c:v>
                </c:pt>
                <c:pt idx="1">
                  <c:v>453</c:v>
                </c:pt>
                <c:pt idx="2">
                  <c:v>453</c:v>
                </c:pt>
                <c:pt idx="3">
                  <c:v>453</c:v>
                </c:pt>
                <c:pt idx="4">
                  <c:v>453</c:v>
                </c:pt>
                <c:pt idx="5">
                  <c:v>453</c:v>
                </c:pt>
                <c:pt idx="6">
                  <c:v>453</c:v>
                </c:pt>
                <c:pt idx="7">
                  <c:v>453</c:v>
                </c:pt>
                <c:pt idx="8">
                  <c:v>453</c:v>
                </c:pt>
                <c:pt idx="9">
                  <c:v>453</c:v>
                </c:pt>
                <c:pt idx="10">
                  <c:v>453</c:v>
                </c:pt>
                <c:pt idx="11">
                  <c:v>453</c:v>
                </c:pt>
                <c:pt idx="12">
                  <c:v>453</c:v>
                </c:pt>
                <c:pt idx="13">
                  <c:v>453</c:v>
                </c:pt>
              </c:numCache>
            </c:numRef>
          </c:val>
          <c:extLst>
            <c:ext xmlns:c16="http://schemas.microsoft.com/office/drawing/2014/chart" uri="{C3380CC4-5D6E-409C-BE32-E72D297353CC}">
              <c16:uniqueId val="{00000001-8FDC-4CB9-9F61-8357563647C2}"/>
            </c:ext>
          </c:extLst>
        </c:ser>
        <c:ser>
          <c:idx val="2"/>
          <c:order val="2"/>
          <c:tx>
            <c:strRef>
              <c:f>'3.2. DSR industry'!$B$21</c:f>
              <c:strCache>
                <c:ptCount val="1"/>
                <c:pt idx="0">
                  <c:v>Max use of 4 hours*</c:v>
                </c:pt>
              </c:strCache>
            </c:strRef>
          </c:tx>
          <c:spPr>
            <a:solidFill>
              <a:schemeClr val="accent3"/>
            </a:solidFill>
            <a:ln>
              <a:noFill/>
            </a:ln>
            <a:effectLst/>
          </c:spPr>
          <c:invertIfNegative val="0"/>
          <c:val>
            <c:numRef>
              <c:f>'3.2. DSR industry'!$C$21:$P$21</c:f>
              <c:numCache>
                <c:formatCode>0</c:formatCode>
                <c:ptCount val="14"/>
                <c:pt idx="0">
                  <c:v>587</c:v>
                </c:pt>
                <c:pt idx="1">
                  <c:v>634</c:v>
                </c:pt>
                <c:pt idx="2">
                  <c:v>634</c:v>
                </c:pt>
                <c:pt idx="3">
                  <c:v>634</c:v>
                </c:pt>
                <c:pt idx="4">
                  <c:v>634</c:v>
                </c:pt>
                <c:pt idx="5">
                  <c:v>634</c:v>
                </c:pt>
                <c:pt idx="6">
                  <c:v>634</c:v>
                </c:pt>
                <c:pt idx="7">
                  <c:v>634</c:v>
                </c:pt>
                <c:pt idx="8">
                  <c:v>634</c:v>
                </c:pt>
                <c:pt idx="9">
                  <c:v>634</c:v>
                </c:pt>
                <c:pt idx="10">
                  <c:v>634</c:v>
                </c:pt>
                <c:pt idx="11">
                  <c:v>634</c:v>
                </c:pt>
                <c:pt idx="12">
                  <c:v>634</c:v>
                </c:pt>
                <c:pt idx="13">
                  <c:v>634</c:v>
                </c:pt>
              </c:numCache>
            </c:numRef>
          </c:val>
          <c:extLst>
            <c:ext xmlns:c16="http://schemas.microsoft.com/office/drawing/2014/chart" uri="{C3380CC4-5D6E-409C-BE32-E72D297353CC}">
              <c16:uniqueId val="{00000002-8FDC-4CB9-9F61-8357563647C2}"/>
            </c:ext>
          </c:extLst>
        </c:ser>
        <c:ser>
          <c:idx val="3"/>
          <c:order val="3"/>
          <c:tx>
            <c:strRef>
              <c:f>'3.2. DSR industry'!$B$22</c:f>
              <c:strCache>
                <c:ptCount val="1"/>
                <c:pt idx="0">
                  <c:v>Max use of 8 hours</c:v>
                </c:pt>
              </c:strCache>
            </c:strRef>
          </c:tx>
          <c:spPr>
            <a:solidFill>
              <a:schemeClr val="accent4"/>
            </a:solidFill>
            <a:ln>
              <a:noFill/>
            </a:ln>
            <a:effectLst/>
          </c:spPr>
          <c:invertIfNegative val="0"/>
          <c:val>
            <c:numRef>
              <c:f>'3.2. DSR industry'!$C$22:$P$22</c:f>
              <c:numCache>
                <c:formatCode>0</c:formatCode>
                <c:ptCount val="14"/>
                <c:pt idx="0">
                  <c:v>359</c:v>
                </c:pt>
                <c:pt idx="1">
                  <c:v>388</c:v>
                </c:pt>
                <c:pt idx="2">
                  <c:v>388</c:v>
                </c:pt>
                <c:pt idx="3">
                  <c:v>388</c:v>
                </c:pt>
                <c:pt idx="4">
                  <c:v>388</c:v>
                </c:pt>
                <c:pt idx="5">
                  <c:v>388</c:v>
                </c:pt>
                <c:pt idx="6">
                  <c:v>388</c:v>
                </c:pt>
                <c:pt idx="7">
                  <c:v>388</c:v>
                </c:pt>
                <c:pt idx="8">
                  <c:v>388</c:v>
                </c:pt>
                <c:pt idx="9">
                  <c:v>388</c:v>
                </c:pt>
                <c:pt idx="10">
                  <c:v>388</c:v>
                </c:pt>
                <c:pt idx="11">
                  <c:v>388</c:v>
                </c:pt>
                <c:pt idx="12">
                  <c:v>388</c:v>
                </c:pt>
                <c:pt idx="13">
                  <c:v>388</c:v>
                </c:pt>
              </c:numCache>
            </c:numRef>
          </c:val>
          <c:extLst>
            <c:ext xmlns:c16="http://schemas.microsoft.com/office/drawing/2014/chart" uri="{C3380CC4-5D6E-409C-BE32-E72D297353CC}">
              <c16:uniqueId val="{00000003-8FDC-4CB9-9F61-8357563647C2}"/>
            </c:ext>
          </c:extLst>
        </c:ser>
        <c:ser>
          <c:idx val="4"/>
          <c:order val="4"/>
          <c:tx>
            <c:strRef>
              <c:f>'3.2. DSR industry'!$B$23</c:f>
              <c:strCache>
                <c:ptCount val="1"/>
                <c:pt idx="0">
                  <c:v>No limit</c:v>
                </c:pt>
              </c:strCache>
            </c:strRef>
          </c:tx>
          <c:spPr>
            <a:solidFill>
              <a:schemeClr val="accent5"/>
            </a:solidFill>
            <a:ln>
              <a:noFill/>
            </a:ln>
            <a:effectLst/>
          </c:spPr>
          <c:invertIfNegative val="0"/>
          <c:val>
            <c:numRef>
              <c:f>'3.2. DSR industry'!$C$23:$P$23</c:f>
              <c:numCache>
                <c:formatCode>0</c:formatCode>
                <c:ptCount val="14"/>
                <c:pt idx="0">
                  <c:v>179</c:v>
                </c:pt>
                <c:pt idx="1">
                  <c:v>193</c:v>
                </c:pt>
                <c:pt idx="2">
                  <c:v>193</c:v>
                </c:pt>
                <c:pt idx="3">
                  <c:v>193</c:v>
                </c:pt>
                <c:pt idx="4">
                  <c:v>193</c:v>
                </c:pt>
                <c:pt idx="5">
                  <c:v>193</c:v>
                </c:pt>
                <c:pt idx="6">
                  <c:v>193</c:v>
                </c:pt>
                <c:pt idx="7">
                  <c:v>193</c:v>
                </c:pt>
                <c:pt idx="8">
                  <c:v>193</c:v>
                </c:pt>
                <c:pt idx="9">
                  <c:v>193</c:v>
                </c:pt>
                <c:pt idx="10">
                  <c:v>193</c:v>
                </c:pt>
                <c:pt idx="11">
                  <c:v>193</c:v>
                </c:pt>
                <c:pt idx="12">
                  <c:v>193</c:v>
                </c:pt>
                <c:pt idx="13">
                  <c:v>193</c:v>
                </c:pt>
              </c:numCache>
            </c:numRef>
          </c:val>
          <c:extLst>
            <c:ext xmlns:c16="http://schemas.microsoft.com/office/drawing/2014/chart" uri="{C3380CC4-5D6E-409C-BE32-E72D297353CC}">
              <c16:uniqueId val="{00000004-8FDC-4CB9-9F61-8357563647C2}"/>
            </c:ext>
          </c:extLst>
        </c:ser>
        <c:dLbls>
          <c:showLegendKey val="0"/>
          <c:showVal val="0"/>
          <c:showCatName val="0"/>
          <c:showSerName val="0"/>
          <c:showPercent val="0"/>
          <c:showBubbleSize val="0"/>
        </c:dLbls>
        <c:gapWidth val="150"/>
        <c:overlap val="100"/>
        <c:axId val="389989120"/>
        <c:axId val="389991040"/>
      </c:barChart>
      <c:scatterChart>
        <c:scatterStyle val="lineMarker"/>
        <c:varyColors val="0"/>
        <c:ser>
          <c:idx val="5"/>
          <c:order val="5"/>
          <c:tx>
            <c:strRef>
              <c:f>'3.2. DSR industry'!$B$12</c:f>
              <c:strCache>
                <c:ptCount val="1"/>
                <c:pt idx="0">
                  <c:v>Existing DSR</c:v>
                </c:pt>
              </c:strCache>
            </c:strRef>
          </c:tx>
          <c:spPr>
            <a:ln w="25400" cap="rnd">
              <a:noFill/>
              <a:round/>
            </a:ln>
            <a:effectLst/>
          </c:spPr>
          <c:marker>
            <c:symbol val="circle"/>
            <c:size val="7"/>
            <c:spPr>
              <a:solidFill>
                <a:schemeClr val="tx1"/>
              </a:solidFill>
              <a:ln w="9525">
                <a:solidFill>
                  <a:schemeClr val="tx1"/>
                </a:solidFill>
              </a:ln>
              <a:effectLst/>
            </c:spPr>
          </c:marker>
          <c:yVal>
            <c:numRef>
              <c:f>'3.2. DSR industry'!$C$18:$P$18</c:f>
              <c:numCache>
                <c:formatCode>0</c:formatCode>
                <c:ptCount val="14"/>
                <c:pt idx="0">
                  <c:v>1664</c:v>
                </c:pt>
                <c:pt idx="1">
                  <c:v>1798</c:v>
                </c:pt>
                <c:pt idx="2">
                  <c:v>1798</c:v>
                </c:pt>
                <c:pt idx="3">
                  <c:v>1798</c:v>
                </c:pt>
                <c:pt idx="4">
                  <c:v>1798</c:v>
                </c:pt>
                <c:pt idx="5">
                  <c:v>1798</c:v>
                </c:pt>
                <c:pt idx="6">
                  <c:v>1798</c:v>
                </c:pt>
                <c:pt idx="7">
                  <c:v>1798</c:v>
                </c:pt>
                <c:pt idx="8">
                  <c:v>1798</c:v>
                </c:pt>
                <c:pt idx="9">
                  <c:v>1798</c:v>
                </c:pt>
                <c:pt idx="10">
                  <c:v>1798</c:v>
                </c:pt>
                <c:pt idx="11">
                  <c:v>1798</c:v>
                </c:pt>
                <c:pt idx="12">
                  <c:v>1798</c:v>
                </c:pt>
                <c:pt idx="13">
                  <c:v>1798</c:v>
                </c:pt>
              </c:numCache>
            </c:numRef>
          </c:yVal>
          <c:smooth val="0"/>
          <c:extLst>
            <c:ext xmlns:c16="http://schemas.microsoft.com/office/drawing/2014/chart" uri="{C3380CC4-5D6E-409C-BE32-E72D297353CC}">
              <c16:uniqueId val="{00000005-8FDC-4CB9-9F61-8357563647C2}"/>
            </c:ext>
          </c:extLst>
        </c:ser>
        <c:dLbls>
          <c:showLegendKey val="0"/>
          <c:showVal val="0"/>
          <c:showCatName val="0"/>
          <c:showSerName val="0"/>
          <c:showPercent val="0"/>
          <c:showBubbleSize val="0"/>
        </c:dLbls>
        <c:axId val="389989120"/>
        <c:axId val="389991040"/>
      </c:scatterChart>
      <c:catAx>
        <c:axId val="38998912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endParaRPr lang="nl-BE"/>
          </a:p>
        </c:txPr>
        <c:crossAx val="389991040"/>
        <c:crosses val="autoZero"/>
        <c:auto val="1"/>
        <c:lblAlgn val="ctr"/>
        <c:lblOffset val="100"/>
        <c:noMultiLvlLbl val="0"/>
      </c:catAx>
      <c:valAx>
        <c:axId val="389991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sz="1400"/>
                  <a:t>[MW]</a:t>
                </a:r>
              </a:p>
            </c:rich>
          </c:tx>
          <c:layout>
            <c:manualLayout>
              <c:xMode val="edge"/>
              <c:yMode val="edge"/>
              <c:x val="3.352022599239154E-3"/>
              <c:y val="0.3322178771189994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endParaRPr lang="nl-BE"/>
          </a:p>
        </c:txPr>
        <c:crossAx val="389989120"/>
        <c:crosses val="autoZero"/>
        <c:crossBetween val="between"/>
      </c:valAx>
      <c:spPr>
        <a:noFill/>
        <a:ln>
          <a:noFill/>
        </a:ln>
        <a:effectLst/>
      </c:spPr>
    </c:plotArea>
    <c:legend>
      <c:legendPos val="r"/>
      <c:layout>
        <c:manualLayout>
          <c:xMode val="edge"/>
          <c:yMode val="edge"/>
          <c:x val="0.73638682219969809"/>
          <c:y val="0.27646523505264003"/>
          <c:w val="0.26064051048304587"/>
          <c:h val="0.48863220105338478"/>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Total potential shedding capacity (incl.</a:t>
            </a:r>
            <a:r>
              <a:rPr lang="nl-BE" baseline="0"/>
              <a:t> the ones participating to the ancillary services)</a:t>
            </a:r>
            <a:endParaRPr lang="nl-BE"/>
          </a:p>
        </c:rich>
      </c:tx>
      <c:layout>
        <c:manualLayout>
          <c:xMode val="edge"/>
          <c:yMode val="edge"/>
          <c:x val="0.23728095061207957"/>
          <c:y val="2.04831465895178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7.0892109614099266E-2"/>
          <c:y val="0.13067926932117926"/>
          <c:w val="0.52980494730108096"/>
          <c:h val="0.66241120222664829"/>
        </c:manualLayout>
      </c:layout>
      <c:barChart>
        <c:barDir val="col"/>
        <c:grouping val="stacked"/>
        <c:varyColors val="0"/>
        <c:ser>
          <c:idx val="0"/>
          <c:order val="0"/>
          <c:tx>
            <c:strRef>
              <c:f>'3.2. DSR industry'!$B$12</c:f>
              <c:strCache>
                <c:ptCount val="1"/>
                <c:pt idx="0">
                  <c:v>Existing DSR</c:v>
                </c:pt>
              </c:strCache>
            </c:strRef>
          </c:tx>
          <c:spPr>
            <a:solidFill>
              <a:schemeClr val="accent6">
                <a:lumMod val="75000"/>
              </a:schemeClr>
            </a:solidFill>
            <a:ln>
              <a:noFill/>
            </a:ln>
            <a:effectLst/>
          </c:spPr>
          <c:invertIfNegative val="0"/>
          <c:cat>
            <c:numRef>
              <c:f>'3.2. DSR industry'!$C$10:$P$10</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'3.2. DSR industry'!$C$12:$P$12</c:f>
              <c:numCache>
                <c:formatCode>General</c:formatCode>
                <c:ptCount val="14"/>
                <c:pt idx="0" formatCode="0">
                  <c:v>1664</c:v>
                </c:pt>
                <c:pt idx="1">
                  <c:v>1798</c:v>
                </c:pt>
                <c:pt idx="2">
                  <c:v>1798</c:v>
                </c:pt>
                <c:pt idx="3">
                  <c:v>1798</c:v>
                </c:pt>
                <c:pt idx="4">
                  <c:v>1798</c:v>
                </c:pt>
                <c:pt idx="5">
                  <c:v>1798</c:v>
                </c:pt>
                <c:pt idx="6">
                  <c:v>1798</c:v>
                </c:pt>
                <c:pt idx="7">
                  <c:v>1798</c:v>
                </c:pt>
                <c:pt idx="8">
                  <c:v>1798</c:v>
                </c:pt>
                <c:pt idx="9">
                  <c:v>1798</c:v>
                </c:pt>
                <c:pt idx="10">
                  <c:v>1798</c:v>
                </c:pt>
                <c:pt idx="11">
                  <c:v>1798</c:v>
                </c:pt>
                <c:pt idx="12">
                  <c:v>1798</c:v>
                </c:pt>
                <c:pt idx="13">
                  <c:v>1798</c:v>
                </c:pt>
              </c:numCache>
            </c:numRef>
          </c:val>
          <c:extLst>
            <c:ext xmlns:c16="http://schemas.microsoft.com/office/drawing/2014/chart" uri="{C3380CC4-5D6E-409C-BE32-E72D297353CC}">
              <c16:uniqueId val="{00000000-9B26-40E9-B1C4-BAE552DFF648}"/>
            </c:ext>
          </c:extLst>
        </c:ser>
        <c:ser>
          <c:idx val="1"/>
          <c:order val="1"/>
          <c:tx>
            <c:strRef>
              <c:f>'3.2. DSR industry'!$B$13</c:f>
              <c:strCache>
                <c:ptCount val="1"/>
                <c:pt idx="0">
                  <c:v>New potential DSR submitted to EVA - 25€/kW</c:v>
                </c:pt>
              </c:strCache>
            </c:strRef>
          </c:tx>
          <c:spPr>
            <a:solidFill>
              <a:srgbClr val="0070C0"/>
            </a:solidFill>
            <a:ln>
              <a:noFill/>
            </a:ln>
            <a:effectLst/>
          </c:spPr>
          <c:invertIfNegative val="0"/>
          <c:val>
            <c:numRef>
              <c:f>'3.2. DSR industry'!$C$13:$P$13</c:f>
              <c:numCache>
                <c:formatCode>General</c:formatCode>
                <c:ptCount val="14"/>
                <c:pt idx="0" formatCode="0">
                  <c:v>0</c:v>
                </c:pt>
                <c:pt idx="1">
                  <c:v>0</c:v>
                </c:pt>
                <c:pt idx="2">
                  <c:v>150</c:v>
                </c:pt>
                <c:pt idx="3">
                  <c:v>300</c:v>
                </c:pt>
                <c:pt idx="4">
                  <c:v>300</c:v>
                </c:pt>
                <c:pt idx="5">
                  <c:v>300</c:v>
                </c:pt>
                <c:pt idx="6">
                  <c:v>300</c:v>
                </c:pt>
                <c:pt idx="7">
                  <c:v>300</c:v>
                </c:pt>
                <c:pt idx="8">
                  <c:v>300</c:v>
                </c:pt>
                <c:pt idx="9">
                  <c:v>300</c:v>
                </c:pt>
                <c:pt idx="10">
                  <c:v>300</c:v>
                </c:pt>
                <c:pt idx="11">
                  <c:v>300</c:v>
                </c:pt>
                <c:pt idx="12">
                  <c:v>300</c:v>
                </c:pt>
                <c:pt idx="13">
                  <c:v>300</c:v>
                </c:pt>
              </c:numCache>
            </c:numRef>
          </c:val>
          <c:extLst>
            <c:ext xmlns:c16="http://schemas.microsoft.com/office/drawing/2014/chart" uri="{C3380CC4-5D6E-409C-BE32-E72D297353CC}">
              <c16:uniqueId val="{00000001-9B26-40E9-B1C4-BAE552DFF648}"/>
            </c:ext>
          </c:extLst>
        </c:ser>
        <c:ser>
          <c:idx val="2"/>
          <c:order val="2"/>
          <c:tx>
            <c:strRef>
              <c:f>'3.2. DSR industry'!$B$14</c:f>
              <c:strCache>
                <c:ptCount val="1"/>
                <c:pt idx="0">
                  <c:v>New potential DSR submitted to EVA - 50€/kW</c:v>
                </c:pt>
              </c:strCache>
            </c:strRef>
          </c:tx>
          <c:spPr>
            <a:solidFill>
              <a:schemeClr val="accent1">
                <a:lumMod val="60000"/>
                <a:lumOff val="40000"/>
              </a:schemeClr>
            </a:solidFill>
            <a:ln>
              <a:noFill/>
            </a:ln>
            <a:effectLst/>
          </c:spPr>
          <c:invertIfNegative val="0"/>
          <c:val>
            <c:numRef>
              <c:f>'3.2. DSR industry'!$C$14:$P$14</c:f>
              <c:numCache>
                <c:formatCode>General</c:formatCode>
                <c:ptCount val="14"/>
                <c:pt idx="0" formatCode="0">
                  <c:v>0</c:v>
                </c:pt>
                <c:pt idx="1">
                  <c:v>0</c:v>
                </c:pt>
                <c:pt idx="2">
                  <c:v>0</c:v>
                </c:pt>
                <c:pt idx="3">
                  <c:v>0</c:v>
                </c:pt>
                <c:pt idx="4">
                  <c:v>150</c:v>
                </c:pt>
                <c:pt idx="5">
                  <c:v>300</c:v>
                </c:pt>
                <c:pt idx="6">
                  <c:v>300</c:v>
                </c:pt>
                <c:pt idx="7">
                  <c:v>300</c:v>
                </c:pt>
                <c:pt idx="8">
                  <c:v>300</c:v>
                </c:pt>
                <c:pt idx="9">
                  <c:v>300</c:v>
                </c:pt>
                <c:pt idx="10">
                  <c:v>300</c:v>
                </c:pt>
                <c:pt idx="11">
                  <c:v>300</c:v>
                </c:pt>
                <c:pt idx="12">
                  <c:v>300</c:v>
                </c:pt>
                <c:pt idx="13">
                  <c:v>300</c:v>
                </c:pt>
              </c:numCache>
            </c:numRef>
          </c:val>
          <c:extLst>
            <c:ext xmlns:c16="http://schemas.microsoft.com/office/drawing/2014/chart" uri="{C3380CC4-5D6E-409C-BE32-E72D297353CC}">
              <c16:uniqueId val="{00000002-9B26-40E9-B1C4-BAE552DFF648}"/>
            </c:ext>
          </c:extLst>
        </c:ser>
        <c:ser>
          <c:idx val="3"/>
          <c:order val="3"/>
          <c:tx>
            <c:strRef>
              <c:f>'3.2. DSR industry'!$B$15</c:f>
              <c:strCache>
                <c:ptCount val="1"/>
                <c:pt idx="0">
                  <c:v>New potential DSR submitted to EVA - 75€/kW</c:v>
                </c:pt>
              </c:strCache>
            </c:strRef>
          </c:tx>
          <c:spPr>
            <a:solidFill>
              <a:schemeClr val="accent1">
                <a:lumMod val="40000"/>
                <a:lumOff val="60000"/>
              </a:schemeClr>
            </a:solidFill>
            <a:ln>
              <a:noFill/>
            </a:ln>
            <a:effectLst/>
          </c:spPr>
          <c:invertIfNegative val="0"/>
          <c:val>
            <c:numRef>
              <c:f>'3.2. DSR industry'!$C$15:$P$15</c:f>
              <c:numCache>
                <c:formatCode>General</c:formatCode>
                <c:ptCount val="14"/>
                <c:pt idx="0" formatCode="0">
                  <c:v>0</c:v>
                </c:pt>
                <c:pt idx="1">
                  <c:v>0</c:v>
                </c:pt>
                <c:pt idx="2">
                  <c:v>0</c:v>
                </c:pt>
                <c:pt idx="3">
                  <c:v>0</c:v>
                </c:pt>
                <c:pt idx="4">
                  <c:v>0</c:v>
                </c:pt>
                <c:pt idx="5">
                  <c:v>0</c:v>
                </c:pt>
                <c:pt idx="6">
                  <c:v>150</c:v>
                </c:pt>
                <c:pt idx="7">
                  <c:v>300</c:v>
                </c:pt>
                <c:pt idx="8">
                  <c:v>300</c:v>
                </c:pt>
                <c:pt idx="9">
                  <c:v>300</c:v>
                </c:pt>
                <c:pt idx="10">
                  <c:v>300</c:v>
                </c:pt>
                <c:pt idx="11">
                  <c:v>300</c:v>
                </c:pt>
                <c:pt idx="12">
                  <c:v>300</c:v>
                </c:pt>
                <c:pt idx="13">
                  <c:v>300</c:v>
                </c:pt>
              </c:numCache>
            </c:numRef>
          </c:val>
          <c:extLst>
            <c:ext xmlns:c16="http://schemas.microsoft.com/office/drawing/2014/chart" uri="{C3380CC4-5D6E-409C-BE32-E72D297353CC}">
              <c16:uniqueId val="{00000003-9B26-40E9-B1C4-BAE552DFF648}"/>
            </c:ext>
          </c:extLst>
        </c:ser>
        <c:ser>
          <c:idx val="4"/>
          <c:order val="4"/>
          <c:tx>
            <c:strRef>
              <c:f>'3.2. DSR industry'!$B$16</c:f>
              <c:strCache>
                <c:ptCount val="1"/>
                <c:pt idx="0">
                  <c:v>New potential DSR submitted to EVA - 100€/kW</c:v>
                </c:pt>
              </c:strCache>
            </c:strRef>
          </c:tx>
          <c:spPr>
            <a:solidFill>
              <a:schemeClr val="accent1">
                <a:lumMod val="20000"/>
                <a:lumOff val="80000"/>
              </a:schemeClr>
            </a:solidFill>
            <a:ln>
              <a:noFill/>
            </a:ln>
            <a:effectLst/>
          </c:spPr>
          <c:invertIfNegative val="0"/>
          <c:val>
            <c:numRef>
              <c:f>'3.2. DSR industry'!$C$16:$P$16</c:f>
              <c:numCache>
                <c:formatCode>General</c:formatCode>
                <c:ptCount val="14"/>
                <c:pt idx="0" formatCode="0">
                  <c:v>0</c:v>
                </c:pt>
                <c:pt idx="1">
                  <c:v>0</c:v>
                </c:pt>
                <c:pt idx="2">
                  <c:v>0</c:v>
                </c:pt>
                <c:pt idx="3">
                  <c:v>0</c:v>
                </c:pt>
                <c:pt idx="4">
                  <c:v>0</c:v>
                </c:pt>
                <c:pt idx="5">
                  <c:v>0</c:v>
                </c:pt>
                <c:pt idx="6">
                  <c:v>0</c:v>
                </c:pt>
                <c:pt idx="7">
                  <c:v>0</c:v>
                </c:pt>
                <c:pt idx="8">
                  <c:v>150</c:v>
                </c:pt>
                <c:pt idx="9">
                  <c:v>300</c:v>
                </c:pt>
                <c:pt idx="10">
                  <c:v>450</c:v>
                </c:pt>
                <c:pt idx="11">
                  <c:v>600</c:v>
                </c:pt>
                <c:pt idx="12">
                  <c:v>750</c:v>
                </c:pt>
                <c:pt idx="13">
                  <c:v>900</c:v>
                </c:pt>
              </c:numCache>
            </c:numRef>
          </c:val>
          <c:extLst>
            <c:ext xmlns:c16="http://schemas.microsoft.com/office/drawing/2014/chart" uri="{C3380CC4-5D6E-409C-BE32-E72D297353CC}">
              <c16:uniqueId val="{00000004-9B26-40E9-B1C4-BAE552DFF648}"/>
            </c:ext>
          </c:extLst>
        </c:ser>
        <c:dLbls>
          <c:showLegendKey val="0"/>
          <c:showVal val="0"/>
          <c:showCatName val="0"/>
          <c:showSerName val="0"/>
          <c:showPercent val="0"/>
          <c:showBubbleSize val="0"/>
        </c:dLbls>
        <c:gapWidth val="48"/>
        <c:overlap val="100"/>
        <c:axId val="389989120"/>
        <c:axId val="389991040"/>
      </c:barChart>
      <c:scatterChart>
        <c:scatterStyle val="lineMarker"/>
        <c:varyColors val="0"/>
        <c:ser>
          <c:idx val="5"/>
          <c:order val="5"/>
          <c:tx>
            <c:v>Total potential shedding capacity</c:v>
          </c:tx>
          <c:spPr>
            <a:ln w="25400" cap="rnd">
              <a:noFill/>
              <a:round/>
            </a:ln>
            <a:effectLst/>
          </c:spPr>
          <c:marker>
            <c:symbol val="circle"/>
            <c:size val="7"/>
            <c:spPr>
              <a:solidFill>
                <a:schemeClr val="tx1"/>
              </a:solidFill>
              <a:ln w="9525">
                <a:solidFill>
                  <a:schemeClr val="tx1"/>
                </a:solidFill>
              </a:ln>
              <a:effectLst/>
            </c:spPr>
          </c:marker>
          <c:yVal>
            <c:numRef>
              <c:f>'3.2. DSR industry'!$C$11:$P$11</c:f>
              <c:numCache>
                <c:formatCode>0</c:formatCode>
                <c:ptCount val="14"/>
                <c:pt idx="0">
                  <c:v>1664</c:v>
                </c:pt>
                <c:pt idx="1">
                  <c:v>1798</c:v>
                </c:pt>
                <c:pt idx="2">
                  <c:v>1948</c:v>
                </c:pt>
                <c:pt idx="3">
                  <c:v>2098</c:v>
                </c:pt>
                <c:pt idx="4">
                  <c:v>2248</c:v>
                </c:pt>
                <c:pt idx="5">
                  <c:v>2398</c:v>
                </c:pt>
                <c:pt idx="6">
                  <c:v>2548</c:v>
                </c:pt>
                <c:pt idx="7">
                  <c:v>2698</c:v>
                </c:pt>
                <c:pt idx="8">
                  <c:v>2848</c:v>
                </c:pt>
                <c:pt idx="9">
                  <c:v>2998</c:v>
                </c:pt>
                <c:pt idx="10">
                  <c:v>3148</c:v>
                </c:pt>
                <c:pt idx="11">
                  <c:v>3298</c:v>
                </c:pt>
                <c:pt idx="12">
                  <c:v>3448</c:v>
                </c:pt>
                <c:pt idx="13">
                  <c:v>3598</c:v>
                </c:pt>
              </c:numCache>
            </c:numRef>
          </c:yVal>
          <c:smooth val="0"/>
          <c:extLst>
            <c:ext xmlns:c16="http://schemas.microsoft.com/office/drawing/2014/chart" uri="{C3380CC4-5D6E-409C-BE32-E72D297353CC}">
              <c16:uniqueId val="{00000005-9B26-40E9-B1C4-BAE552DFF648}"/>
            </c:ext>
          </c:extLst>
        </c:ser>
        <c:dLbls>
          <c:showLegendKey val="0"/>
          <c:showVal val="0"/>
          <c:showCatName val="0"/>
          <c:showSerName val="0"/>
          <c:showPercent val="0"/>
          <c:showBubbleSize val="0"/>
        </c:dLbls>
        <c:axId val="389989120"/>
        <c:axId val="389991040"/>
      </c:scatterChart>
      <c:catAx>
        <c:axId val="38998912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endParaRPr lang="nl-BE"/>
          </a:p>
        </c:txPr>
        <c:crossAx val="389991040"/>
        <c:crosses val="autoZero"/>
        <c:auto val="1"/>
        <c:lblAlgn val="ctr"/>
        <c:lblOffset val="100"/>
        <c:noMultiLvlLbl val="0"/>
      </c:catAx>
      <c:valAx>
        <c:axId val="389991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sz="1400"/>
                  <a:t>[MW]</a:t>
                </a:r>
              </a:p>
            </c:rich>
          </c:tx>
          <c:layout>
            <c:manualLayout>
              <c:xMode val="edge"/>
              <c:yMode val="edge"/>
              <c:x val="3.352022599239154E-3"/>
              <c:y val="0.3322178771189994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endParaRPr lang="nl-BE"/>
          </a:p>
        </c:txPr>
        <c:crossAx val="389989120"/>
        <c:crosses val="autoZero"/>
        <c:crossBetween val="between"/>
      </c:valAx>
      <c:spPr>
        <a:noFill/>
        <a:ln>
          <a:noFill/>
        </a:ln>
        <a:effectLst/>
      </c:spPr>
    </c:plotArea>
    <c:legend>
      <c:legendPos val="r"/>
      <c:layout>
        <c:manualLayout>
          <c:xMode val="edge"/>
          <c:yMode val="edge"/>
          <c:x val="0.61768711809346877"/>
          <c:y val="0.26666522117947766"/>
          <c:w val="0.36715398756129219"/>
          <c:h val="0.4628943438584738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 - flexibility profiles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lineChart>
        <c:grouping val="standard"/>
        <c:varyColors val="0"/>
        <c:ser>
          <c:idx val="0"/>
          <c:order val="0"/>
          <c:tx>
            <c:v>Natural charging - V0</c:v>
          </c:tx>
          <c:spPr>
            <a:ln w="28575" cap="rnd">
              <a:solidFill>
                <a:schemeClr val="tx1">
                  <a:lumMod val="50000"/>
                  <a:lumOff val="50000"/>
                </a:schemeClr>
              </a:solidFill>
              <a:round/>
            </a:ln>
            <a:effectLst/>
          </c:spPr>
          <c:marker>
            <c:symbol val="none"/>
          </c:marker>
          <c:cat>
            <c:numLit>
              <c:formatCode>General</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Lit>
          </c:cat>
          <c:val>
            <c:numLit>
              <c:formatCode>General</c:formatCode>
              <c:ptCount val="48"/>
              <c:pt idx="0">
                <c:v>2.1858533851033913E-2</c:v>
              </c:pt>
              <c:pt idx="1">
                <c:v>1.8327902309423123E-2</c:v>
              </c:pt>
              <c:pt idx="2">
                <c:v>1.4845919530641289E-2</c:v>
              </c:pt>
              <c:pt idx="3">
                <c:v>1.1649865552218468E-2</c:v>
              </c:pt>
              <c:pt idx="4">
                <c:v>8.4657525784395758E-3</c:v>
              </c:pt>
              <c:pt idx="5">
                <c:v>6.8365824488574867E-3</c:v>
              </c:pt>
              <c:pt idx="6">
                <c:v>5.1975894191375804E-3</c:v>
              </c:pt>
              <c:pt idx="7">
                <c:v>4.1901699878664012E-3</c:v>
              </c:pt>
              <c:pt idx="8">
                <c:v>3.1823602042295122E-3</c:v>
              </c:pt>
              <c:pt idx="9">
                <c:v>2.7633715294652686E-3</c:v>
              </c:pt>
              <c:pt idx="10">
                <c:v>2.3803584518203476E-3</c:v>
              </c:pt>
              <c:pt idx="11">
                <c:v>2.5224075269830405E-3</c:v>
              </c:pt>
              <c:pt idx="12">
                <c:v>2.7932889430258979E-3</c:v>
              </c:pt>
              <c:pt idx="13">
                <c:v>3.6845929977536414E-3</c:v>
              </c:pt>
              <c:pt idx="14">
                <c:v>5.0533728107426176E-3</c:v>
              </c:pt>
              <c:pt idx="15">
                <c:v>7.4957182984662502E-3</c:v>
              </c:pt>
              <c:pt idx="16">
                <c:v>9.9870666191846386E-3</c:v>
              </c:pt>
              <c:pt idx="17">
                <c:v>1.192322606671556E-2</c:v>
              </c:pt>
              <c:pt idx="18">
                <c:v>1.2983109588837999E-2</c:v>
              </c:pt>
              <c:pt idx="19">
                <c:v>1.2401040045394631E-2</c:v>
              </c:pt>
              <c:pt idx="20">
                <c:v>1.3109812475686503E-2</c:v>
              </c:pt>
              <c:pt idx="21">
                <c:v>1.3070083403991854E-2</c:v>
              </c:pt>
              <c:pt idx="22">
                <c:v>1.3592456897518E-2</c:v>
              </c:pt>
              <c:pt idx="23">
                <c:v>1.3949202435242222E-2</c:v>
              </c:pt>
              <c:pt idx="24">
                <c:v>1.4275062920939125E-2</c:v>
              </c:pt>
              <c:pt idx="25">
                <c:v>1.4721985027932052E-2</c:v>
              </c:pt>
              <c:pt idx="26">
                <c:v>1.5046967058515328E-2</c:v>
              </c:pt>
              <c:pt idx="27">
                <c:v>1.5186038763260339E-2</c:v>
              </c:pt>
              <c:pt idx="28">
                <c:v>1.5118684246444464E-2</c:v>
              </c:pt>
              <c:pt idx="29">
                <c:v>1.6121691215365466E-2</c:v>
              </c:pt>
              <c:pt idx="30">
                <c:v>1.7053069076576711E-2</c:v>
              </c:pt>
              <c:pt idx="31">
                <c:v>2.049734822765386E-2</c:v>
              </c:pt>
              <c:pt idx="32">
                <c:v>2.3722554932494328E-2</c:v>
              </c:pt>
              <c:pt idx="33">
                <c:v>2.9016629117465904E-2</c:v>
              </c:pt>
              <c:pt idx="34">
                <c:v>3.4787570504138617E-2</c:v>
              </c:pt>
              <c:pt idx="35">
                <c:v>4.1770435124134739E-2</c:v>
              </c:pt>
              <c:pt idx="36">
                <c:v>4.8849727431268551E-2</c:v>
              </c:pt>
              <c:pt idx="37">
                <c:v>5.0177852364088893E-2</c:v>
              </c:pt>
              <c:pt idx="38">
                <c:v>5.1585393395738463E-2</c:v>
              </c:pt>
              <c:pt idx="39">
                <c:v>5.2262428732892746E-2</c:v>
              </c:pt>
              <c:pt idx="40">
                <c:v>5.0198363243418462E-2</c:v>
              </c:pt>
              <c:pt idx="41">
                <c:v>4.6214053647375554E-2</c:v>
              </c:pt>
              <c:pt idx="42">
                <c:v>4.2312479430805724E-2</c:v>
              </c:pt>
              <c:pt idx="43">
                <c:v>4.1115475718677054E-2</c:v>
              </c:pt>
              <c:pt idx="44">
                <c:v>3.9941451545568184E-2</c:v>
              </c:pt>
              <c:pt idx="45">
                <c:v>3.6367312179736093E-2</c:v>
              </c:pt>
              <c:pt idx="46">
                <c:v>3.2807647834574898E-2</c:v>
              </c:pt>
              <c:pt idx="47">
                <c:v>2.8585994288258615E-2</c:v>
              </c:pt>
            </c:numLit>
          </c:val>
          <c:smooth val="0"/>
          <c:extLst>
            <c:ext xmlns:c16="http://schemas.microsoft.com/office/drawing/2014/chart" uri="{C3380CC4-5D6E-409C-BE32-E72D297353CC}">
              <c16:uniqueId val="{00000000-690E-4731-B5BF-9B9E2627A02D}"/>
            </c:ext>
          </c:extLst>
        </c:ser>
        <c:ser>
          <c:idx val="1"/>
          <c:order val="1"/>
          <c:tx>
            <c:v>Local smart charging - V1H</c:v>
          </c:tx>
          <c:spPr>
            <a:ln w="28575" cap="rnd">
              <a:solidFill>
                <a:schemeClr val="accent6"/>
              </a:solidFill>
              <a:round/>
            </a:ln>
            <a:effectLst/>
          </c:spPr>
          <c:marker>
            <c:symbol val="none"/>
          </c:marker>
          <c:cat>
            <c:numLit>
              <c:formatCode>General</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Lit>
          </c:cat>
          <c:val>
            <c:numLit>
              <c:formatCode>General</c:formatCode>
              <c:ptCount val="48"/>
              <c:pt idx="0">
                <c:v>4.1895655815744642E-2</c:v>
              </c:pt>
              <c:pt idx="1">
                <c:v>5.2223163994949168E-2</c:v>
              </c:pt>
              <c:pt idx="2">
                <c:v>5.3921422137841443E-2</c:v>
              </c:pt>
              <c:pt idx="3">
                <c:v>5.4197617905175757E-2</c:v>
              </c:pt>
              <c:pt idx="4">
                <c:v>5.6015028754872992E-2</c:v>
              </c:pt>
              <c:pt idx="5">
                <c:v>5.600700331728431E-2</c:v>
              </c:pt>
              <c:pt idx="6">
                <c:v>5.4375680231814848E-2</c:v>
              </c:pt>
              <c:pt idx="7">
                <c:v>5.1013580098212469E-2</c:v>
              </c:pt>
              <c:pt idx="8">
                <c:v>4.4090304839018858E-2</c:v>
              </c:pt>
              <c:pt idx="9">
                <c:v>3.607568879899177E-2</c:v>
              </c:pt>
              <c:pt idx="10">
                <c:v>2.8378678478720529E-2</c:v>
              </c:pt>
              <c:pt idx="11">
                <c:v>2.2420909513603093E-2</c:v>
              </c:pt>
              <c:pt idx="12">
                <c:v>1.7905849012468823E-2</c:v>
              </c:pt>
              <c:pt idx="13">
                <c:v>1.5589370033489867E-2</c:v>
              </c:pt>
              <c:pt idx="14">
                <c:v>1.2245579809816371E-2</c:v>
              </c:pt>
              <c:pt idx="15">
                <c:v>1.0500432538123021E-2</c:v>
              </c:pt>
              <c:pt idx="16">
                <c:v>9.4230516268436065E-3</c:v>
              </c:pt>
              <c:pt idx="17">
                <c:v>6.5118662876068366E-3</c:v>
              </c:pt>
              <c:pt idx="18">
                <c:v>5.8603297675147064E-3</c:v>
              </c:pt>
              <c:pt idx="19">
                <c:v>4.6623609451993875E-3</c:v>
              </c:pt>
              <c:pt idx="20">
                <c:v>5.0602726128939797E-3</c:v>
              </c:pt>
              <c:pt idx="21">
                <c:v>5.5896561270187117E-3</c:v>
              </c:pt>
              <c:pt idx="22">
                <c:v>5.8561083900212571E-3</c:v>
              </c:pt>
              <c:pt idx="23">
                <c:v>6.1219758913334246E-3</c:v>
              </c:pt>
              <c:pt idx="24">
                <c:v>6.3876505457051477E-3</c:v>
              </c:pt>
              <c:pt idx="25">
                <c:v>6.9170465015679734E-3</c:v>
              </c:pt>
              <c:pt idx="26">
                <c:v>6.6568275493500894E-3</c:v>
              </c:pt>
              <c:pt idx="27">
                <c:v>6.922707492400349E-3</c:v>
              </c:pt>
              <c:pt idx="28">
                <c:v>7.0575137246394496E-3</c:v>
              </c:pt>
              <c:pt idx="29">
                <c:v>7.4552138827864581E-3</c:v>
              </c:pt>
              <c:pt idx="30">
                <c:v>7.9844232125778885E-3</c:v>
              </c:pt>
              <c:pt idx="31">
                <c:v>9.830590519527482E-3</c:v>
              </c:pt>
              <c:pt idx="32">
                <c:v>1.0754762825085435E-2</c:v>
              </c:pt>
              <c:pt idx="33">
                <c:v>1.1283909946186395E-2</c:v>
              </c:pt>
              <c:pt idx="34">
                <c:v>1.2208517712577605E-2</c:v>
              </c:pt>
              <c:pt idx="35">
                <c:v>1.3396392657019515E-2</c:v>
              </c:pt>
              <c:pt idx="36">
                <c:v>1.4057422201907692E-2</c:v>
              </c:pt>
              <c:pt idx="37">
                <c:v>1.5508377698328905E-2</c:v>
              </c:pt>
              <c:pt idx="38">
                <c:v>1.6564432427674067E-2</c:v>
              </c:pt>
              <c:pt idx="39">
                <c:v>1.7093828383536899E-2</c:v>
              </c:pt>
              <c:pt idx="40">
                <c:v>1.7359646117896692E-2</c:v>
              </c:pt>
              <c:pt idx="41">
                <c:v>1.9205875633536752E-2</c:v>
              </c:pt>
              <c:pt idx="42">
                <c:v>2.0393501743216802E-2</c:v>
              </c:pt>
              <c:pt idx="43">
                <c:v>2.0791637362197076E-2</c:v>
              </c:pt>
              <c:pt idx="44">
                <c:v>2.1847443256780369E-2</c:v>
              </c:pt>
              <c:pt idx="45">
                <c:v>2.2772051023171581E-2</c:v>
              </c:pt>
              <c:pt idx="46">
                <c:v>2.4749665293075127E-2</c:v>
              </c:pt>
              <c:pt idx="47">
                <c:v>2.6858975360694499E-2</c:v>
              </c:pt>
            </c:numLit>
          </c:val>
          <c:smooth val="0"/>
          <c:extLst>
            <c:ext xmlns:c16="http://schemas.microsoft.com/office/drawing/2014/chart" uri="{C3380CC4-5D6E-409C-BE32-E72D297353CC}">
              <c16:uniqueId val="{00000001-690E-4731-B5BF-9B9E2627A02D}"/>
            </c:ext>
          </c:extLst>
        </c:ser>
        <c:ser>
          <c:idx val="2"/>
          <c:order val="2"/>
          <c:tx>
            <c:v>Market smart charging - V1M</c:v>
          </c:tx>
          <c:spPr>
            <a:ln w="28575" cap="rnd">
              <a:solidFill>
                <a:schemeClr val="accent3"/>
              </a:solidFill>
              <a:round/>
            </a:ln>
            <a:effectLst/>
          </c:spPr>
          <c:marker>
            <c:symbol val="none"/>
          </c:marker>
          <c:cat>
            <c:numLit>
              <c:formatCode>General</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Lit>
          </c:cat>
          <c:val>
            <c:numLit>
              <c:formatCode>General</c:formatCode>
              <c:ptCount val="48"/>
              <c:pt idx="0">
                <c:v>0</c:v>
              </c:pt>
            </c:numLit>
          </c:val>
          <c:smooth val="0"/>
          <c:extLst>
            <c:ext xmlns:c16="http://schemas.microsoft.com/office/drawing/2014/chart" uri="{C3380CC4-5D6E-409C-BE32-E72D297353CC}">
              <c16:uniqueId val="{00000002-690E-4731-B5BF-9B9E2627A02D}"/>
            </c:ext>
          </c:extLst>
        </c:ser>
        <c:ser>
          <c:idx val="3"/>
          <c:order val="3"/>
          <c:tx>
            <c:v>Bi-direcitonal local demand response - V2H</c:v>
          </c:tx>
          <c:spPr>
            <a:ln w="28575" cap="rnd">
              <a:solidFill>
                <a:schemeClr val="accent1"/>
              </a:solidFill>
              <a:round/>
            </a:ln>
            <a:effectLst/>
          </c:spPr>
          <c:marker>
            <c:symbol val="none"/>
          </c:marker>
          <c:cat>
            <c:numLit>
              <c:formatCode>General</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Lit>
          </c:cat>
          <c:val>
            <c:numLit>
              <c:formatCode>General</c:formatCode>
              <c:ptCount val="48"/>
              <c:pt idx="0">
                <c:v>-5.0435580009170103E-2</c:v>
              </c:pt>
              <c:pt idx="1">
                <c:v>-5.0435580009170103E-2</c:v>
              </c:pt>
              <c:pt idx="2">
                <c:v>-5.0435580009170103E-2</c:v>
              </c:pt>
              <c:pt idx="3">
                <c:v>-4.8143053645116916E-2</c:v>
              </c:pt>
              <c:pt idx="4">
                <c:v>-4.585052728106373E-2</c:v>
              </c:pt>
              <c:pt idx="5">
                <c:v>-5.0435580009170103E-2</c:v>
              </c:pt>
              <c:pt idx="6">
                <c:v>-5.5020632737276469E-2</c:v>
              </c:pt>
              <c:pt idx="7">
                <c:v>-5.0435580009170103E-2</c:v>
              </c:pt>
              <c:pt idx="8">
                <c:v>-4.585052728106373E-2</c:v>
              </c:pt>
              <c:pt idx="9">
                <c:v>-5.5020632737276469E-2</c:v>
              </c:pt>
              <c:pt idx="10">
                <c:v>-6.4190738193489208E-2</c:v>
              </c:pt>
              <c:pt idx="11">
                <c:v>-6.4190738193489208E-2</c:v>
              </c:pt>
              <c:pt idx="12">
                <c:v>-6.4190738193489208E-2</c:v>
              </c:pt>
              <c:pt idx="13">
                <c:v>-5.2728106373223282E-2</c:v>
              </c:pt>
              <c:pt idx="14">
                <c:v>-4.1265474552957357E-2</c:v>
              </c:pt>
              <c:pt idx="15">
                <c:v>-5.9605685465382849E-2</c:v>
              </c:pt>
              <c:pt idx="16">
                <c:v>-7.7945896377808341E-2</c:v>
              </c:pt>
              <c:pt idx="17">
                <c:v>-1.6047684548372299E-2</c:v>
              </c:pt>
              <c:pt idx="18">
                <c:v>4.585052728106373E-2</c:v>
              </c:pt>
              <c:pt idx="19">
                <c:v>7.3360843649701968E-2</c:v>
              </c:pt>
              <c:pt idx="20">
                <c:v>0.10087116001834021</c:v>
              </c:pt>
              <c:pt idx="21">
                <c:v>0.12150389729481889</c:v>
              </c:pt>
              <c:pt idx="22">
                <c:v>0.14213663457129755</c:v>
              </c:pt>
              <c:pt idx="23">
                <c:v>0.22008253094910588</c:v>
              </c:pt>
              <c:pt idx="24">
                <c:v>0.2980284273269142</c:v>
              </c:pt>
              <c:pt idx="25">
                <c:v>0.30719853278312698</c:v>
              </c:pt>
              <c:pt idx="26">
                <c:v>0.31636863823933975</c:v>
              </c:pt>
              <c:pt idx="27">
                <c:v>0.2980284273269142</c:v>
              </c:pt>
              <c:pt idx="28">
                <c:v>0.27968821641448871</c:v>
              </c:pt>
              <c:pt idx="29">
                <c:v>0.27281063732232913</c:v>
              </c:pt>
              <c:pt idx="30">
                <c:v>0.26593305823016961</c:v>
              </c:pt>
              <c:pt idx="31">
                <c:v>0.26593305823016961</c:v>
              </c:pt>
              <c:pt idx="32">
                <c:v>0.26593305823016961</c:v>
              </c:pt>
              <c:pt idx="33">
                <c:v>0.22696011004126543</c:v>
              </c:pt>
              <c:pt idx="34">
                <c:v>0.18798716185236128</c:v>
              </c:pt>
              <c:pt idx="35">
                <c:v>0.13755158184319119</c:v>
              </c:pt>
              <c:pt idx="36">
                <c:v>8.7116001834021073E-2</c:v>
              </c:pt>
              <c:pt idx="37">
                <c:v>6.7171022466758351E-2</c:v>
              </c:pt>
              <c:pt idx="38">
                <c:v>4.7226043099495643E-2</c:v>
              </c:pt>
              <c:pt idx="39">
                <c:v>-4.9747822099954153E-2</c:v>
              </c:pt>
              <c:pt idx="40">
                <c:v>-0.14672168729940394</c:v>
              </c:pt>
              <c:pt idx="41">
                <c:v>-0.18110958276020173</c:v>
              </c:pt>
              <c:pt idx="42">
                <c:v>-0.21549747822099952</c:v>
              </c:pt>
              <c:pt idx="43">
                <c:v>-0.26593305823016966</c:v>
              </c:pt>
              <c:pt idx="44">
                <c:v>-0.31636863823933975</c:v>
              </c:pt>
              <c:pt idx="45">
                <c:v>-0.31866116460339289</c:v>
              </c:pt>
              <c:pt idx="46">
                <c:v>-0.32095369096744608</c:v>
              </c:pt>
              <c:pt idx="47">
                <c:v>-0.27051811095827599</c:v>
              </c:pt>
            </c:numLit>
          </c:val>
          <c:smooth val="0"/>
          <c:extLst>
            <c:ext xmlns:c16="http://schemas.microsoft.com/office/drawing/2014/chart" uri="{C3380CC4-5D6E-409C-BE32-E72D297353CC}">
              <c16:uniqueId val="{00000003-690E-4731-B5BF-9B9E2627A02D}"/>
            </c:ext>
          </c:extLst>
        </c:ser>
        <c:dLbls>
          <c:showLegendKey val="0"/>
          <c:showVal val="0"/>
          <c:showCatName val="0"/>
          <c:showSerName val="0"/>
          <c:showPercent val="0"/>
          <c:showBubbleSize val="0"/>
        </c:dLbls>
        <c:smooth val="0"/>
        <c:axId val="614798640"/>
        <c:axId val="614802904"/>
      </c:lineChart>
      <c:catAx>
        <c:axId val="614798640"/>
        <c:scaling>
          <c:orientation val="minMax"/>
        </c:scaling>
        <c:delete val="0"/>
        <c:axPos val="b"/>
        <c:numFmt formatCode="h:mm"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4802904"/>
        <c:crosses val="autoZero"/>
        <c:auto val="1"/>
        <c:lblAlgn val="ctr"/>
        <c:lblOffset val="100"/>
        <c:noMultiLvlLbl val="0"/>
      </c:catAx>
      <c:valAx>
        <c:axId val="614802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 of the daily demand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479864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HP - flexibility profiles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lineChart>
        <c:grouping val="standard"/>
        <c:varyColors val="0"/>
        <c:ser>
          <c:idx val="0"/>
          <c:order val="0"/>
          <c:tx>
            <c:v>Natural load - HP0</c:v>
          </c:tx>
          <c:spPr>
            <a:ln w="28575" cap="rnd">
              <a:solidFill>
                <a:schemeClr val="accent1"/>
              </a:solidFill>
              <a:round/>
            </a:ln>
            <a:effectLst/>
          </c:spPr>
          <c:marker>
            <c:symbol val="none"/>
          </c:marker>
          <c:cat>
            <c:numLit>
              <c:formatCode>General</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Lit>
          </c:cat>
          <c:val>
            <c:numLit>
              <c:formatCode>General</c:formatCode>
              <c:ptCount val="48"/>
              <c:pt idx="0">
                <c:v>9.496616655667145E-3</c:v>
              </c:pt>
              <c:pt idx="1">
                <c:v>1.0186648933610364E-2</c:v>
              </c:pt>
              <c:pt idx="2">
                <c:v>1.0575437265327845E-2</c:v>
              </c:pt>
              <c:pt idx="3">
                <c:v>1.1075455337619868E-2</c:v>
              </c:pt>
              <c:pt idx="4">
                <c:v>1.1997990515543703E-2</c:v>
              </c:pt>
              <c:pt idx="5">
                <c:v>1.3398041117961374E-2</c:v>
              </c:pt>
              <c:pt idx="6">
                <c:v>1.4209296159744754E-2</c:v>
              </c:pt>
              <c:pt idx="7">
                <c:v>1.5086826042072208E-2</c:v>
              </c:pt>
              <c:pt idx="8">
                <c:v>1.5964355924399661E-2</c:v>
              </c:pt>
              <c:pt idx="9">
                <c:v>1.7475636267391872E-2</c:v>
              </c:pt>
              <c:pt idx="10">
                <c:v>2.1138291524321104E-2</c:v>
              </c:pt>
              <c:pt idx="11">
                <c:v>2.3858375161229316E-2</c:v>
              </c:pt>
              <c:pt idx="12">
                <c:v>2.766598893264742E-2</c:v>
              </c:pt>
              <c:pt idx="13">
                <c:v>3.0496069207279673E-2</c:v>
              </c:pt>
              <c:pt idx="14">
                <c:v>3.2614898054586949E-2</c:v>
              </c:pt>
              <c:pt idx="15">
                <c:v>3.1392352033287899E-2</c:v>
              </c:pt>
              <c:pt idx="16">
                <c:v>2.8438481997982636E-2</c:v>
              </c:pt>
              <c:pt idx="17">
                <c:v>2.4352076532571092E-2</c:v>
              </c:pt>
              <c:pt idx="18">
                <c:v>2.1375754245033549E-2</c:v>
              </c:pt>
              <c:pt idx="19">
                <c:v>1.8899450029788031E-2</c:v>
              </c:pt>
              <c:pt idx="20">
                <c:v>1.7013124082461393E-2</c:v>
              </c:pt>
              <c:pt idx="21">
                <c:v>1.7679420609755896E-2</c:v>
              </c:pt>
              <c:pt idx="22">
                <c:v>1.8245713522591991E-2</c:v>
              </c:pt>
              <c:pt idx="23">
                <c:v>1.8245713522591991E-2</c:v>
              </c:pt>
              <c:pt idx="24">
                <c:v>1.7901930486470898E-2</c:v>
              </c:pt>
              <c:pt idx="25">
                <c:v>1.7723192802501776E-2</c:v>
              </c:pt>
              <c:pt idx="26">
                <c:v>1.7813152998128631E-2</c:v>
              </c:pt>
              <c:pt idx="27">
                <c:v>1.797943145313111E-2</c:v>
              </c:pt>
              <c:pt idx="28">
                <c:v>1.8435677332677251E-2</c:v>
              </c:pt>
              <c:pt idx="29">
                <c:v>1.9235706248344493E-2</c:v>
              </c:pt>
              <c:pt idx="30">
                <c:v>2.1467048334642726E-2</c:v>
              </c:pt>
              <c:pt idx="31">
                <c:v>2.4642144748246581E-2</c:v>
              </c:pt>
              <c:pt idx="32">
                <c:v>2.6405964433316619E-2</c:v>
              </c:pt>
              <c:pt idx="33">
                <c:v>2.8114785799524637E-2</c:v>
              </c:pt>
              <c:pt idx="34">
                <c:v>2.9379820515153154E-2</c:v>
              </c:pt>
              <c:pt idx="35">
                <c:v>2.9336048322407268E-2</c:v>
              </c:pt>
              <c:pt idx="36">
                <c:v>2.8238474769065828E-2</c:v>
              </c:pt>
              <c:pt idx="37">
                <c:v>2.8517216067493353E-2</c:v>
              </c:pt>
              <c:pt idx="38">
                <c:v>2.866222497754814E-2</c:v>
              </c:pt>
              <c:pt idx="39">
                <c:v>2.8640955432600451E-2</c:v>
              </c:pt>
              <c:pt idx="40">
                <c:v>2.8307215815310902E-2</c:v>
              </c:pt>
              <c:pt idx="41">
                <c:v>2.7773468969104549E-2</c:v>
              </c:pt>
              <c:pt idx="42">
                <c:v>2.4463356668711543E-2</c:v>
              </c:pt>
              <c:pt idx="43">
                <c:v>2.1375754245033549E-2</c:v>
              </c:pt>
              <c:pt idx="44">
                <c:v>1.7666860589657434E-2</c:v>
              </c:pt>
              <c:pt idx="45">
                <c:v>1.4425489335509509E-2</c:v>
              </c:pt>
              <c:pt idx="46">
                <c:v>1.1627904731941087E-2</c:v>
              </c:pt>
              <c:pt idx="47">
                <c:v>1.0984161248010689E-2</c:v>
              </c:pt>
            </c:numLit>
          </c:val>
          <c:smooth val="0"/>
          <c:extLst>
            <c:ext xmlns:c16="http://schemas.microsoft.com/office/drawing/2014/chart" uri="{C3380CC4-5D6E-409C-BE32-E72D297353CC}">
              <c16:uniqueId val="{00000000-5E28-439E-8318-50BB1BB7CE3E}"/>
            </c:ext>
          </c:extLst>
        </c:ser>
        <c:ser>
          <c:idx val="1"/>
          <c:order val="1"/>
          <c:tx>
            <c:v>Local smart load - hot water - HP1H</c:v>
          </c:tx>
          <c:spPr>
            <a:ln w="28575" cap="rnd">
              <a:solidFill>
                <a:schemeClr val="accent6"/>
              </a:solidFill>
              <a:round/>
            </a:ln>
            <a:effectLst/>
          </c:spPr>
          <c:marker>
            <c:symbol val="none"/>
          </c:marker>
          <c:cat>
            <c:numLit>
              <c:formatCode>General</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Lit>
          </c:cat>
          <c:val>
            <c:numLit>
              <c:formatCode>General</c:formatCode>
              <c:ptCount val="48"/>
              <c:pt idx="0">
                <c:v>1.161218380819015E-2</c:v>
              </c:pt>
              <c:pt idx="1">
                <c:v>1.2903396676800677E-2</c:v>
              </c:pt>
              <c:pt idx="2">
                <c:v>1.404960896774567E-2</c:v>
              </c:pt>
              <c:pt idx="3">
                <c:v>1.4270873026776213E-2</c:v>
              </c:pt>
              <c:pt idx="4">
                <c:v>1.5070855971803857E-2</c:v>
              </c:pt>
              <c:pt idx="5">
                <c:v>1.6404555093291529E-2</c:v>
              </c:pt>
              <c:pt idx="6">
                <c:v>1.7125808492964349E-2</c:v>
              </c:pt>
              <c:pt idx="7">
                <c:v>1.8014513432401125E-2</c:v>
              </c:pt>
              <c:pt idx="8">
                <c:v>1.9425709067248709E-2</c:v>
              </c:pt>
              <c:pt idx="9">
                <c:v>2.2658134651182129E-2</c:v>
              </c:pt>
              <c:pt idx="10">
                <c:v>2.4764383234949283E-2</c:v>
              </c:pt>
              <c:pt idx="11">
                <c:v>2.6048147518920255E-2</c:v>
              </c:pt>
              <c:pt idx="12">
                <c:v>2.8185656874515345E-2</c:v>
              </c:pt>
              <c:pt idx="13">
                <c:v>2.8668205181463756E-2</c:v>
              </c:pt>
              <c:pt idx="14">
                <c:v>2.7773284689382342E-2</c:v>
              </c:pt>
              <c:pt idx="15">
                <c:v>2.6683300589023632E-2</c:v>
              </c:pt>
              <c:pt idx="16">
                <c:v>2.3150881400704846E-2</c:v>
              </c:pt>
              <c:pt idx="17">
                <c:v>2.1078359652755438E-2</c:v>
              </c:pt>
              <c:pt idx="18">
                <c:v>1.9938362914455096E-2</c:v>
              </c:pt>
              <c:pt idx="19">
                <c:v>1.8732095143844045E-2</c:v>
              </c:pt>
              <c:pt idx="20">
                <c:v>1.8304541995487002E-2</c:v>
              </c:pt>
              <c:pt idx="21">
                <c:v>2.1185677912428397E-2</c:v>
              </c:pt>
              <c:pt idx="22">
                <c:v>2.1464403194040128E-2</c:v>
              </c:pt>
              <c:pt idx="23">
                <c:v>2.1965625566677315E-2</c:v>
              </c:pt>
              <c:pt idx="24">
                <c:v>2.3778045706033635E-2</c:v>
              </c:pt>
              <c:pt idx="25">
                <c:v>2.2398110843013977E-2</c:v>
              </c:pt>
              <c:pt idx="26">
                <c:v>2.1605704675720944E-2</c:v>
              </c:pt>
              <c:pt idx="27">
                <c:v>2.0803255666703487E-2</c:v>
              </c:pt>
              <c:pt idx="28">
                <c:v>1.9867081953739825E-2</c:v>
              </c:pt>
              <c:pt idx="29">
                <c:v>1.7297215514903128E-2</c:v>
              </c:pt>
              <c:pt idx="30">
                <c:v>1.9105936558274729E-2</c:v>
              </c:pt>
              <c:pt idx="31">
                <c:v>2.1247145009854529E-2</c:v>
              </c:pt>
              <c:pt idx="32">
                <c:v>2.2499648521997571E-2</c:v>
              </c:pt>
              <c:pt idx="33">
                <c:v>2.3819605705776098E-2</c:v>
              </c:pt>
              <c:pt idx="34">
                <c:v>2.530583178999379E-2</c:v>
              </c:pt>
              <c:pt idx="35">
                <c:v>2.5339558625811543E-2</c:v>
              </c:pt>
              <c:pt idx="36">
                <c:v>2.4907073349474878E-2</c:v>
              </c:pt>
              <c:pt idx="37">
                <c:v>2.4952076059011952E-2</c:v>
              </c:pt>
              <c:pt idx="38">
                <c:v>2.5274571018165853E-2</c:v>
              </c:pt>
              <c:pt idx="39">
                <c:v>2.4997078768549029E-2</c:v>
              </c:pt>
              <c:pt idx="40">
                <c:v>2.4942083609957647E-2</c:v>
              </c:pt>
              <c:pt idx="41">
                <c:v>2.4308369565369164E-2</c:v>
              </c:pt>
              <c:pt idx="42">
                <c:v>2.231211129878477E-2</c:v>
              </c:pt>
              <c:pt idx="43">
                <c:v>1.9725908665154071E-2</c:v>
              </c:pt>
              <c:pt idx="44">
                <c:v>1.6774674426822192E-2</c:v>
              </c:pt>
              <c:pt idx="45">
                <c:v>1.4133476634600106E-2</c:v>
              </c:pt>
              <c:pt idx="46">
                <c:v>1.2784674350313337E-2</c:v>
              </c:pt>
              <c:pt idx="47">
                <c:v>1.2342196624922369E-2</c:v>
              </c:pt>
            </c:numLit>
          </c:val>
          <c:smooth val="0"/>
          <c:extLst>
            <c:ext xmlns:c16="http://schemas.microsoft.com/office/drawing/2014/chart" uri="{C3380CC4-5D6E-409C-BE32-E72D297353CC}">
              <c16:uniqueId val="{00000001-5E28-439E-8318-50BB1BB7CE3E}"/>
            </c:ext>
          </c:extLst>
        </c:ser>
        <c:ser>
          <c:idx val="2"/>
          <c:order val="2"/>
          <c:tx>
            <c:v>Local smart load - hot water &amp; space heating - HP1H</c:v>
          </c:tx>
          <c:spPr>
            <a:ln w="28575" cap="rnd">
              <a:solidFill>
                <a:schemeClr val="accent6"/>
              </a:solidFill>
              <a:prstDash val="sysDash"/>
              <a:round/>
            </a:ln>
            <a:effectLst/>
          </c:spPr>
          <c:marker>
            <c:symbol val="none"/>
          </c:marker>
          <c:cat>
            <c:numLit>
              <c:formatCode>General</c:formatCode>
              <c:ptCount val="4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Lit>
          </c:cat>
          <c:val>
            <c:numLit>
              <c:formatCode>General</c:formatCode>
              <c:ptCount val="48"/>
              <c:pt idx="0">
                <c:v>1.2889598838681545E-2</c:v>
              </c:pt>
              <c:pt idx="1">
                <c:v>1.4024472163664235E-2</c:v>
              </c:pt>
              <c:pt idx="2">
                <c:v>1.4904329702163502E-2</c:v>
              </c:pt>
              <c:pt idx="3">
                <c:v>1.4848107133714202E-2</c:v>
              </c:pt>
              <c:pt idx="4">
                <c:v>1.5548022220596834E-2</c:v>
              </c:pt>
              <c:pt idx="5">
                <c:v>1.6825365419901418E-2</c:v>
              </c:pt>
              <c:pt idx="6">
                <c:v>1.7480282296972023E-2</c:v>
              </c:pt>
              <c:pt idx="7">
                <c:v>1.8335174913151949E-2</c:v>
              </c:pt>
              <c:pt idx="8">
                <c:v>1.9646241575999829E-2</c:v>
              </c:pt>
              <c:pt idx="9">
                <c:v>2.2955832721234266E-2</c:v>
              </c:pt>
              <c:pt idx="10">
                <c:v>2.4661919227474131E-2</c:v>
              </c:pt>
              <c:pt idx="11">
                <c:v>2.5901789849483971E-2</c:v>
              </c:pt>
              <c:pt idx="12">
                <c:v>2.848280225939645E-2</c:v>
              </c:pt>
              <c:pt idx="13">
                <c:v>2.789915921580971E-2</c:v>
              </c:pt>
              <c:pt idx="14">
                <c:v>2.6225691444683771E-2</c:v>
              </c:pt>
              <c:pt idx="15">
                <c:v>2.4145979471528568E-2</c:v>
              </c:pt>
              <c:pt idx="16">
                <c:v>2.0047709728494113E-2</c:v>
              </c:pt>
              <c:pt idx="17">
                <c:v>1.9785218697124868E-2</c:v>
              </c:pt>
              <c:pt idx="18">
                <c:v>2.0835027237310164E-2</c:v>
              </c:pt>
              <c:pt idx="19">
                <c:v>2.1129931030870189E-2</c:v>
              </c:pt>
              <c:pt idx="20">
                <c:v>2.2802165893289466E-2</c:v>
              </c:pt>
              <c:pt idx="21">
                <c:v>2.696158983959988E-2</c:v>
              </c:pt>
              <c:pt idx="22">
                <c:v>2.5964176961466592E-2</c:v>
              </c:pt>
              <c:pt idx="23">
                <c:v>2.654283798259521E-2</c:v>
              </c:pt>
              <c:pt idx="24">
                <c:v>2.9608688087614968E-2</c:v>
              </c:pt>
              <c:pt idx="25">
                <c:v>2.7772717154674449E-2</c:v>
              </c:pt>
              <c:pt idx="26">
                <c:v>2.5614283508163929E-2</c:v>
              </c:pt>
              <c:pt idx="27">
                <c:v>2.3222150659000799E-2</c:v>
              </c:pt>
              <c:pt idx="28">
                <c:v>2.0541278559810961E-2</c:v>
              </c:pt>
              <c:pt idx="29">
                <c:v>1.5262005148538052E-2</c:v>
              </c:pt>
              <c:pt idx="30">
                <c:v>1.6004402240187916E-2</c:v>
              </c:pt>
              <c:pt idx="31">
                <c:v>1.7434257151376469E-2</c:v>
              </c:pt>
              <c:pt idx="32">
                <c:v>1.832040741368636E-2</c:v>
              </c:pt>
              <c:pt idx="33">
                <c:v>1.9406533415105575E-2</c:v>
              </c:pt>
              <c:pt idx="34">
                <c:v>2.0770123920282751E-2</c:v>
              </c:pt>
              <c:pt idx="35">
                <c:v>2.1203798862044685E-2</c:v>
              </c:pt>
              <c:pt idx="36">
                <c:v>2.2003701818481977E-2</c:v>
              </c:pt>
              <c:pt idx="37">
                <c:v>2.2726116010270615E-2</c:v>
              </c:pt>
              <c:pt idx="38">
                <c:v>2.3859706038915185E-2</c:v>
              </c:pt>
              <c:pt idx="39">
                <c:v>2.2993589064097979E-2</c:v>
              </c:pt>
              <c:pt idx="40">
                <c:v>2.2016209473457379E-2</c:v>
              </c:pt>
              <c:pt idx="41">
                <c:v>2.0106448501988203E-2</c:v>
              </c:pt>
              <c:pt idx="42">
                <c:v>2.0253900398768215E-2</c:v>
              </c:pt>
              <c:pt idx="43">
                <c:v>1.8325339048513016E-2</c:v>
              </c:pt>
              <c:pt idx="44">
                <c:v>1.7074193680234433E-2</c:v>
              </c:pt>
              <c:pt idx="45">
                <c:v>1.608928845707655E-2</c:v>
              </c:pt>
              <c:pt idx="46">
                <c:v>1.6305470577281263E-2</c:v>
              </c:pt>
              <c:pt idx="47">
                <c:v>1.4241964985221452E-2</c:v>
              </c:pt>
            </c:numLit>
          </c:val>
          <c:smooth val="0"/>
          <c:extLst>
            <c:ext xmlns:c16="http://schemas.microsoft.com/office/drawing/2014/chart" uri="{C3380CC4-5D6E-409C-BE32-E72D297353CC}">
              <c16:uniqueId val="{00000002-5E28-439E-8318-50BB1BB7CE3E}"/>
            </c:ext>
          </c:extLst>
        </c:ser>
        <c:dLbls>
          <c:showLegendKey val="0"/>
          <c:showVal val="0"/>
          <c:showCatName val="0"/>
          <c:showSerName val="0"/>
          <c:showPercent val="0"/>
          <c:showBubbleSize val="0"/>
        </c:dLbls>
        <c:smooth val="0"/>
        <c:axId val="614798640"/>
        <c:axId val="614802904"/>
      </c:lineChart>
      <c:catAx>
        <c:axId val="614798640"/>
        <c:scaling>
          <c:orientation val="minMax"/>
        </c:scaling>
        <c:delete val="0"/>
        <c:axPos val="b"/>
        <c:numFmt formatCode="h: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4802904"/>
        <c:crosses val="autoZero"/>
        <c:auto val="1"/>
        <c:lblAlgn val="ctr"/>
        <c:lblOffset val="100"/>
        <c:noMultiLvlLbl val="0"/>
      </c:catAx>
      <c:valAx>
        <c:axId val="614802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4798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Photovoltaics (installed capacity</a:t>
            </a:r>
            <a:r>
              <a:rPr lang="en-US" sz="1800" b="1" baseline="0"/>
              <a:t> [MWpeak])</a:t>
            </a:r>
            <a:endParaRPr lang="en-US" sz="1800" b="1"/>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6.9463866795353199E-2"/>
          <c:y val="0.12029496761415621"/>
          <c:w val="0.73062991803247868"/>
          <c:h val="0.72320995679733446"/>
        </c:manualLayout>
      </c:layout>
      <c:lineChart>
        <c:grouping val="standard"/>
        <c:varyColors val="0"/>
        <c:ser>
          <c:idx val="0"/>
          <c:order val="0"/>
          <c:tx>
            <c:strRef>
              <c:f>'1.2. Renewable and non-CIPU'!$R$59:$S$59</c:f>
              <c:strCache>
                <c:ptCount val="2"/>
                <c:pt idx="0">
                  <c:v>Historic (IEA)</c:v>
                </c:pt>
              </c:strCache>
            </c:strRef>
          </c:tx>
          <c:spPr>
            <a:ln w="38100" cap="rnd">
              <a:solidFill>
                <a:schemeClr val="tx1">
                  <a:lumMod val="50000"/>
                  <a:lumOff val="50000"/>
                </a:schemeClr>
              </a:solidFill>
              <a:round/>
            </a:ln>
            <a:effectLst/>
          </c:spPr>
          <c:marker>
            <c:symbol val="none"/>
          </c:marker>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non-CIPU'!$T$59:$AR$59</c:f>
              <c:numCache>
                <c:formatCode>General</c:formatCode>
                <c:ptCount val="25"/>
                <c:pt idx="0">
                  <c:v>1006.9999999999999</c:v>
                </c:pt>
                <c:pt idx="1">
                  <c:v>1979</c:v>
                </c:pt>
                <c:pt idx="2">
                  <c:v>2647</c:v>
                </c:pt>
                <c:pt idx="3">
                  <c:v>2902</c:v>
                </c:pt>
                <c:pt idx="4">
                  <c:v>3014</c:v>
                </c:pt>
                <c:pt idx="5">
                  <c:v>3131</c:v>
                </c:pt>
                <c:pt idx="6">
                  <c:v>3200</c:v>
                </c:pt>
                <c:pt idx="7">
                  <c:v>3587</c:v>
                </c:pt>
                <c:pt idx="8">
                  <c:v>4000</c:v>
                </c:pt>
                <c:pt idx="9">
                  <c:v>4600</c:v>
                </c:pt>
                <c:pt idx="10">
                  <c:v>5600</c:v>
                </c:pt>
                <c:pt idx="11">
                  <c:v>6300</c:v>
                </c:pt>
              </c:numCache>
            </c:numRef>
          </c:val>
          <c:smooth val="0"/>
          <c:extLst>
            <c:ext xmlns:c16="http://schemas.microsoft.com/office/drawing/2014/chart" uri="{C3380CC4-5D6E-409C-BE32-E72D297353CC}">
              <c16:uniqueId val="{00000000-077F-47C1-B2BB-9C5935AACB81}"/>
            </c:ext>
          </c:extLst>
        </c:ser>
        <c:ser>
          <c:idx val="2"/>
          <c:order val="1"/>
          <c:tx>
            <c:strRef>
              <c:f>'1.2. Renewable and non-CIPU'!$R$61:$S$61</c:f>
              <c:strCache>
                <c:ptCount val="2"/>
                <c:pt idx="0">
                  <c:v>AdFlex21</c:v>
                </c:pt>
              </c:strCache>
            </c:strRef>
          </c:tx>
          <c:spPr>
            <a:ln w="57150" cap="rnd">
              <a:solidFill>
                <a:schemeClr val="bg1">
                  <a:lumMod val="50000"/>
                </a:schemeClr>
              </a:solidFill>
              <a:prstDash val="sysDot"/>
              <a:round/>
            </a:ln>
            <a:effectLst/>
          </c:spPr>
          <c:marker>
            <c:symbol val="none"/>
          </c:marker>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non-CIPU'!$T$61:$AR$61</c:f>
              <c:numCache>
                <c:formatCode>General</c:formatCode>
                <c:ptCount val="25"/>
                <c:pt idx="12" formatCode="0">
                  <c:v>6352</c:v>
                </c:pt>
                <c:pt idx="13" formatCode="0">
                  <c:v>6902</c:v>
                </c:pt>
                <c:pt idx="14" formatCode="0">
                  <c:v>7451</c:v>
                </c:pt>
                <c:pt idx="15" formatCode="0">
                  <c:v>8000</c:v>
                </c:pt>
                <c:pt idx="16" formatCode="0">
                  <c:v>8600</c:v>
                </c:pt>
                <c:pt idx="17" formatCode="0">
                  <c:v>9200</c:v>
                </c:pt>
                <c:pt idx="18" formatCode="0">
                  <c:v>9800</c:v>
                </c:pt>
                <c:pt idx="19" formatCode="0">
                  <c:v>10400</c:v>
                </c:pt>
                <c:pt idx="20" formatCode="0">
                  <c:v>11000</c:v>
                </c:pt>
                <c:pt idx="21" formatCode="0">
                  <c:v>11600</c:v>
                </c:pt>
                <c:pt idx="22" formatCode="0">
                  <c:v>12200</c:v>
                </c:pt>
              </c:numCache>
            </c:numRef>
          </c:val>
          <c:smooth val="0"/>
          <c:extLst>
            <c:ext xmlns:c16="http://schemas.microsoft.com/office/drawing/2014/chart" uri="{C3380CC4-5D6E-409C-BE32-E72D297353CC}">
              <c16:uniqueId val="{00000001-077F-47C1-B2BB-9C5935AACB81}"/>
            </c:ext>
          </c:extLst>
        </c:ser>
        <c:ser>
          <c:idx val="5"/>
          <c:order val="2"/>
          <c:tx>
            <c:strRef>
              <c:f>'1.2. Renewable and non-CIPU'!$R$64:$S$64</c:f>
              <c:strCache>
                <c:ptCount val="2"/>
                <c:pt idx="0">
                  <c:v>AdFlex23</c:v>
                </c:pt>
              </c:strCache>
            </c:strRef>
          </c:tx>
          <c:spPr>
            <a:ln w="38100" cap="rnd">
              <a:solidFill>
                <a:schemeClr val="accent6"/>
              </a:solidFill>
              <a:round/>
            </a:ln>
            <a:effectLst/>
          </c:spPr>
          <c:marker>
            <c:symbol val="circle"/>
            <c:size val="5"/>
            <c:spPr>
              <a:solidFill>
                <a:schemeClr val="accent6"/>
              </a:solidFill>
              <a:ln w="38100">
                <a:solidFill>
                  <a:schemeClr val="accent6"/>
                </a:solidFill>
              </a:ln>
              <a:effectLst/>
            </c:spPr>
          </c:marker>
          <c:dLbls>
            <c:dLbl>
              <c:idx val="20"/>
              <c:layout>
                <c:manualLayout>
                  <c:x val="1.3438498104986509E-2"/>
                  <c:y val="-8.7024782312081994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solidFill>
                      <a:latin typeface="+mn-lt"/>
                      <a:ea typeface="+mn-ea"/>
                      <a:cs typeface="+mn-cs"/>
                    </a:defRPr>
                  </a:pPr>
                  <a:endParaRPr lang="nl-B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7F-47C1-B2BB-9C5935AACB81}"/>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non-CIPU'!$T$64:$AR$64</c:f>
              <c:numCache>
                <c:formatCode>General</c:formatCode>
                <c:ptCount val="25"/>
                <c:pt idx="11">
                  <c:v>6300</c:v>
                </c:pt>
                <c:pt idx="12" formatCode="0">
                  <c:v>7300</c:v>
                </c:pt>
                <c:pt idx="13" formatCode="0">
                  <c:v>8300</c:v>
                </c:pt>
                <c:pt idx="14" formatCode="0">
                  <c:v>9300</c:v>
                </c:pt>
                <c:pt idx="15" formatCode="0">
                  <c:v>10100</c:v>
                </c:pt>
                <c:pt idx="16" formatCode="0">
                  <c:v>10900</c:v>
                </c:pt>
                <c:pt idx="17" formatCode="0">
                  <c:v>11700</c:v>
                </c:pt>
                <c:pt idx="18" formatCode="0">
                  <c:v>12500</c:v>
                </c:pt>
                <c:pt idx="19" formatCode="0">
                  <c:v>13300</c:v>
                </c:pt>
                <c:pt idx="20" formatCode="0">
                  <c:v>14100</c:v>
                </c:pt>
                <c:pt idx="21" formatCode="0">
                  <c:v>14900</c:v>
                </c:pt>
                <c:pt idx="22" formatCode="0">
                  <c:v>15700</c:v>
                </c:pt>
                <c:pt idx="23" formatCode="0">
                  <c:v>16500</c:v>
                </c:pt>
                <c:pt idx="24" formatCode="0">
                  <c:v>17300</c:v>
                </c:pt>
              </c:numCache>
            </c:numRef>
          </c:val>
          <c:smooth val="0"/>
          <c:extLst>
            <c:ext xmlns:c16="http://schemas.microsoft.com/office/drawing/2014/chart" uri="{C3380CC4-5D6E-409C-BE32-E72D297353CC}">
              <c16:uniqueId val="{00000003-077F-47C1-B2BB-9C5935AACB81}"/>
            </c:ext>
          </c:extLst>
        </c:ser>
        <c:ser>
          <c:idx val="1"/>
          <c:order val="3"/>
          <c:tx>
            <c:strRef>
              <c:f>'1.2. Renewable and non-CIPU'!$R$60:$S$60</c:f>
              <c:strCache>
                <c:ptCount val="2"/>
                <c:pt idx="0">
                  <c:v>NECP2019_WAM</c:v>
                </c:pt>
              </c:strCache>
            </c:strRef>
          </c:tx>
          <c:spPr>
            <a:ln w="28575" cap="rnd">
              <a:noFill/>
              <a:round/>
            </a:ln>
            <a:effectLst/>
          </c:spPr>
          <c:marker>
            <c:symbol val="diamond"/>
            <c:size val="10"/>
            <c:spPr>
              <a:solidFill>
                <a:schemeClr val="tx1"/>
              </a:solidFill>
              <a:ln w="9525">
                <a:noFill/>
              </a:ln>
              <a:effectLst/>
            </c:spPr>
          </c:marker>
          <c:dLbls>
            <c:dLbl>
              <c:idx val="20"/>
              <c:layout>
                <c:manualLayout>
                  <c:x val="1.4558372947068726E-2"/>
                  <c:y val="5.63101532607588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7F-47C1-B2BB-9C5935AACB81}"/>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non-CIPU'!$T$60:$AR$60</c:f>
              <c:numCache>
                <c:formatCode>General</c:formatCode>
                <c:ptCount val="25"/>
                <c:pt idx="15">
                  <c:v>8000</c:v>
                </c:pt>
                <c:pt idx="20">
                  <c:v>11000</c:v>
                </c:pt>
              </c:numCache>
            </c:numRef>
          </c:val>
          <c:smooth val="0"/>
          <c:extLst>
            <c:ext xmlns:c16="http://schemas.microsoft.com/office/drawing/2014/chart" uri="{C3380CC4-5D6E-409C-BE32-E72D297353CC}">
              <c16:uniqueId val="{00000005-077F-47C1-B2BB-9C5935AACB81}"/>
            </c:ext>
          </c:extLst>
        </c:ser>
        <c:ser>
          <c:idx val="3"/>
          <c:order val="4"/>
          <c:tx>
            <c:strRef>
              <c:f>'1.2. Renewable and non-CIPU'!$R$62:$S$62</c:f>
              <c:strCache>
                <c:ptCount val="2"/>
                <c:pt idx="0">
                  <c:v>FF55_EUMIX</c:v>
                </c:pt>
              </c:strCache>
            </c:strRef>
          </c:tx>
          <c:spPr>
            <a:ln w="28575" cap="rnd">
              <a:noFill/>
              <a:round/>
            </a:ln>
            <a:effectLst/>
          </c:spPr>
          <c:marker>
            <c:symbol val="diamond"/>
            <c:size val="9"/>
            <c:spPr>
              <a:solidFill>
                <a:srgbClr val="00B050"/>
              </a:solidFill>
              <a:ln w="9525">
                <a:noFill/>
              </a:ln>
              <a:effectLst/>
            </c:spPr>
          </c:marker>
          <c:dLbls>
            <c:dLbl>
              <c:idx val="20"/>
              <c:layout>
                <c:manualLayout>
                  <c:x val="1.2318623262904374E-2"/>
                  <c:y val="-5.1191048418871808E-2"/>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rgbClr val="00B050"/>
                      </a:solidFill>
                      <a:latin typeface="+mn-lt"/>
                      <a:ea typeface="+mn-ea"/>
                      <a:cs typeface="+mn-cs"/>
                    </a:defRPr>
                  </a:pPr>
                  <a:endParaRPr lang="nl-B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7F-47C1-B2BB-9C5935AACB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50"/>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non-CIPU'!$T$62:$AR$62</c:f>
              <c:numCache>
                <c:formatCode>General</c:formatCode>
                <c:ptCount val="25"/>
                <c:pt idx="20">
                  <c:v>11600</c:v>
                </c:pt>
              </c:numCache>
            </c:numRef>
          </c:val>
          <c:smooth val="0"/>
          <c:extLst>
            <c:ext xmlns:c16="http://schemas.microsoft.com/office/drawing/2014/chart" uri="{C3380CC4-5D6E-409C-BE32-E72D297353CC}">
              <c16:uniqueId val="{00000007-077F-47C1-B2BB-9C5935AACB81}"/>
            </c:ext>
          </c:extLst>
        </c:ser>
        <c:ser>
          <c:idx val="6"/>
          <c:order val="8"/>
          <c:tx>
            <c:strRef>
              <c:f>'1.2. Renewable and non-CIPU'!$R$63:$S$63</c:f>
              <c:strCache>
                <c:ptCount val="2"/>
                <c:pt idx="0">
                  <c:v>Solar_Outlook</c:v>
                </c:pt>
              </c:strCache>
            </c:strRef>
          </c:tx>
          <c:spPr>
            <a:ln w="28575" cap="rnd">
              <a:noFill/>
              <a:round/>
            </a:ln>
            <a:effectLst/>
          </c:spPr>
          <c:marker>
            <c:symbol val="diamond"/>
            <c:size val="9"/>
            <c:spPr>
              <a:solidFill>
                <a:schemeClr val="accent4"/>
              </a:solidFill>
              <a:ln w="9525">
                <a:noFill/>
              </a:ln>
              <a:effectLst/>
            </c:spPr>
          </c:marker>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non-CIPU'!$T$63:$AR$63</c:f>
              <c:numCache>
                <c:formatCode>General</c:formatCode>
                <c:ptCount val="25"/>
                <c:pt idx="15">
                  <c:v>10900</c:v>
                </c:pt>
              </c:numCache>
            </c:numRef>
          </c:val>
          <c:smooth val="0"/>
          <c:extLst>
            <c:ext xmlns:c16="http://schemas.microsoft.com/office/drawing/2014/chart" uri="{C3380CC4-5D6E-409C-BE32-E72D297353CC}">
              <c16:uniqueId val="{00000008-077F-47C1-B2BB-9C5935AACB81}"/>
            </c:ext>
          </c:extLst>
        </c:ser>
        <c:dLbls>
          <c:showLegendKey val="0"/>
          <c:showVal val="0"/>
          <c:showCatName val="0"/>
          <c:showSerName val="0"/>
          <c:showPercent val="0"/>
          <c:showBubbleSize val="0"/>
        </c:dLbls>
        <c:smooth val="0"/>
        <c:axId val="728247080"/>
        <c:axId val="728250032"/>
        <c:extLst>
          <c:ext xmlns:c15="http://schemas.microsoft.com/office/drawing/2012/chart" uri="{02D57815-91ED-43cb-92C2-25804820EDAC}">
            <c15:filteredLineSeries>
              <c15:ser>
                <c:idx val="7"/>
                <c:order val="5"/>
                <c:tx>
                  <c:strRef>
                    <c:extLst>
                      <c:ext uri="{02D57815-91ED-43cb-92C2-25804820EDAC}">
                        <c15:formulaRef>
                          <c15:sqref>'1.2. Renewable and non-CIPU'!$R$66:$S$66</c15:sqref>
                        </c15:formulaRef>
                      </c:ext>
                    </c:extLst>
                    <c:strCache>
                      <c:ptCount val="2"/>
                      <c:pt idx="0">
                        <c:v>AdFlex23</c:v>
                      </c:pt>
                    </c:strCache>
                  </c:strRef>
                </c:tx>
                <c:spPr>
                  <a:ln w="28575" cap="rnd">
                    <a:noFill/>
                    <a:round/>
                  </a:ln>
                  <a:effectLst/>
                </c:spPr>
                <c:marker>
                  <c:symbol val="diamond"/>
                  <c:size val="9"/>
                  <c:spPr>
                    <a:solidFill>
                      <a:schemeClr val="accent4">
                        <a:lumMod val="50000"/>
                      </a:schemeClr>
                    </a:solidFill>
                    <a:ln w="9525">
                      <a:noFill/>
                    </a:ln>
                    <a:effectLst/>
                  </c:spPr>
                </c:marker>
                <c:cat>
                  <c:numRef>
                    <c:extLst>
                      <c:ex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c:ext uri="{02D57815-91ED-43cb-92C2-25804820EDAC}">
                        <c15:formulaRef>
                          <c15:sqref>'1.2. Renewable and non-CIPU'!$T$66:$AR$66</c15:sqref>
                        </c15:formulaRef>
                      </c:ext>
                    </c:extLst>
                    <c:numCache>
                      <c:formatCode>General</c:formatCode>
                      <c:ptCount val="25"/>
                    </c:numCache>
                  </c:numRef>
                </c:val>
                <c:smooth val="0"/>
                <c:extLst>
                  <c:ext xmlns:c16="http://schemas.microsoft.com/office/drawing/2014/chart" uri="{C3380CC4-5D6E-409C-BE32-E72D297353CC}">
                    <c16:uniqueId val="{00000009-077F-47C1-B2BB-9C5935AACB81}"/>
                  </c:ext>
                </c:extLst>
              </c15:ser>
            </c15:filteredLineSeries>
            <c15:filteredLineSeries>
              <c15:ser>
                <c:idx val="4"/>
                <c:order val="6"/>
                <c:tx>
                  <c:strRef>
                    <c:extLst xmlns:c15="http://schemas.microsoft.com/office/drawing/2012/chart">
                      <c:ext xmlns:c15="http://schemas.microsoft.com/office/drawing/2012/chart" uri="{02D57815-91ED-43cb-92C2-25804820EDAC}">
                        <c15:formulaRef>
                          <c15:sqref>'1.2. Renewable and non-CIPU'!#REF!</c15:sqref>
                        </c15:formulaRef>
                      </c:ext>
                    </c:extLst>
                    <c:strCache>
                      <c:ptCount val="1"/>
                      <c:pt idx="0">
                        <c:v>#REF!</c:v>
                      </c:pt>
                    </c:strCache>
                  </c:strRef>
                </c:tx>
                <c:spPr>
                  <a:ln w="28575" cap="rnd">
                    <a:noFill/>
                    <a:round/>
                  </a:ln>
                  <a:effectLst/>
                </c:spPr>
                <c:marker>
                  <c:symbol val="diamond"/>
                  <c:size val="9"/>
                  <c:spPr>
                    <a:solidFill>
                      <a:schemeClr val="accent5"/>
                    </a:solidFill>
                    <a:ln w="9525">
                      <a:noFill/>
                    </a:ln>
                    <a:effectLst/>
                  </c:spPr>
                </c:marker>
                <c:dLbls>
                  <c:dLbl>
                    <c:idx val="20"/>
                    <c:layout>
                      <c:manualLayout>
                        <c:x val="1.4558372947068807E-2"/>
                        <c:y val="-0.11262030652151787"/>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rgbClr val="00B0F0"/>
                            </a:solidFill>
                            <a:latin typeface="+mn-lt"/>
                            <a:ea typeface="+mn-ea"/>
                            <a:cs typeface="+mn-cs"/>
                          </a:defRPr>
                        </a:pPr>
                        <a:endParaRPr lang="nl-BE"/>
                      </a:p>
                    </c:txP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077F-47C1-B2BB-9C5935AACB81}"/>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xmlns:c15="http://schemas.microsoft.com/office/drawing/2012/chart">
                      <c:ext xmlns:c15="http://schemas.microsoft.com/office/drawing/2012/chart" uri="{02D57815-91ED-43cb-92C2-25804820EDAC}">
                        <c15:formulaRef>
                          <c15:sqref>'1.2. Renewable and non-CIPU'!#REF!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B-077F-47C1-B2BB-9C5935AACB81}"/>
                  </c:ext>
                </c:extLst>
              </c15:ser>
            </c15:filteredLineSeries>
            <c15:filteredLineSeries>
              <c15:ser>
                <c:idx val="8"/>
                <c:order val="7"/>
                <c:tx>
                  <c:strRef>
                    <c:extLst xmlns:c15="http://schemas.microsoft.com/office/drawing/2012/chart">
                      <c:ext xmlns:c15="http://schemas.microsoft.com/office/drawing/2012/chart" uri="{02D57815-91ED-43cb-92C2-25804820EDAC}">
                        <c15:formulaRef>
                          <c15:sqref>'1.2. Renewable and non-CIPU'!$R$67:$S$67</c15:sqref>
                        </c15:formulaRef>
                      </c:ext>
                    </c:extLst>
                    <c:strCache>
                      <c:ptCount val="2"/>
                      <c:pt idx="0">
                        <c:v>AdFlex23</c:v>
                      </c:pt>
                    </c:strCache>
                  </c:strRef>
                </c:tx>
                <c:spPr>
                  <a:ln w="28575" cap="rnd">
                    <a:noFill/>
                    <a:round/>
                  </a:ln>
                  <a:effectLst/>
                </c:spPr>
                <c:marker>
                  <c:symbol val="diamond"/>
                  <c:size val="9"/>
                  <c:spPr>
                    <a:solidFill>
                      <a:schemeClr val="accent3">
                        <a:lumMod val="60000"/>
                      </a:schemeClr>
                    </a:solidFill>
                    <a:ln w="9525">
                      <a:noFill/>
                    </a:ln>
                    <a:effectLst/>
                  </c:spPr>
                </c:marker>
                <c:cat>
                  <c:numRef>
                    <c:extLst xmlns:c15="http://schemas.microsoft.com/office/drawing/2012/chart">
                      <c:ext xmlns:c15="http://schemas.microsoft.com/office/drawing/2012/char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xmlns:c15="http://schemas.microsoft.com/office/drawing/2012/chart">
                      <c:ext xmlns:c15="http://schemas.microsoft.com/office/drawing/2012/chart" uri="{02D57815-91ED-43cb-92C2-25804820EDAC}">
                        <c15:formulaRef>
                          <c15:sqref>'1.2. Renewable and non-CIPU'!$T$67:$AR$67</c15:sqref>
                        </c15:formulaRef>
                      </c:ext>
                    </c:extLst>
                    <c:numCache>
                      <c:formatCode>General</c:formatCode>
                      <c:ptCount val="25"/>
                    </c:numCache>
                  </c:numRef>
                </c:val>
                <c:smooth val="0"/>
                <c:extLst xmlns:c15="http://schemas.microsoft.com/office/drawing/2012/chart">
                  <c:ext xmlns:c16="http://schemas.microsoft.com/office/drawing/2014/chart" uri="{C3380CC4-5D6E-409C-BE32-E72D297353CC}">
                    <c16:uniqueId val="{0000000C-077F-47C1-B2BB-9C5935AACB81}"/>
                  </c:ext>
                </c:extLst>
              </c15:ser>
            </c15:filteredLineSeries>
          </c:ext>
        </c:extLst>
      </c:lineChart>
      <c:catAx>
        <c:axId val="728247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12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crossAx val="728250032"/>
        <c:crosses val="autoZero"/>
        <c:auto val="1"/>
        <c:lblAlgn val="ctr"/>
        <c:lblOffset val="100"/>
        <c:noMultiLvlLbl val="0"/>
      </c:catAx>
      <c:valAx>
        <c:axId val="728250032"/>
        <c:scaling>
          <c:orientation val="minMax"/>
          <c:max val="2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crossAx val="728247080"/>
        <c:crosses val="autoZero"/>
        <c:crossBetween val="between"/>
      </c:valAx>
      <c:spPr>
        <a:noFill/>
        <a:ln>
          <a:noFill/>
        </a:ln>
        <a:effectLst/>
      </c:spPr>
    </c:plotArea>
    <c:legend>
      <c:legendPos val="r"/>
      <c:layout>
        <c:manualLayout>
          <c:xMode val="edge"/>
          <c:yMode val="edge"/>
          <c:x val="0.82088462727302125"/>
          <c:y val="0.23964702910405555"/>
          <c:w val="0.16835827357836186"/>
          <c:h val="0.4542572206174388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800" b="0" i="0" baseline="0">
                <a:effectLst/>
              </a:rPr>
              <a:t>EV - Forecast of EV Flex options - Residential</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areaChart>
        <c:grouping val="percentStacked"/>
        <c:varyColors val="0"/>
        <c:ser>
          <c:idx val="0"/>
          <c:order val="0"/>
          <c:tx>
            <c:v>Natural charging - V0</c:v>
          </c:tx>
          <c:spPr>
            <a:solidFill>
              <a:schemeClr val="tx1">
                <a:lumMod val="50000"/>
                <a:lumOff val="50000"/>
              </a:schemeClr>
            </a:solidFill>
            <a:ln>
              <a:noFill/>
            </a:ln>
            <a:effectLst/>
          </c:spPr>
          <c:cat>
            <c:numLit>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Lit>
          </c:cat>
          <c:val>
            <c:numLit>
              <c:formatCode>General</c:formatCode>
              <c:ptCount val="15"/>
              <c:pt idx="0">
                <c:v>0.94531456821115245</c:v>
              </c:pt>
              <c:pt idx="1">
                <c:v>0.90470219710800492</c:v>
              </c:pt>
              <c:pt idx="2">
                <c:v>0.80844341409715459</c:v>
              </c:pt>
              <c:pt idx="3">
                <c:v>0.70108864802491655</c:v>
              </c:pt>
              <c:pt idx="4">
                <c:v>0.6445842285089054</c:v>
              </c:pt>
              <c:pt idx="5">
                <c:v>0.56503744524520294</c:v>
              </c:pt>
              <c:pt idx="6">
                <c:v>0.50687833442577357</c:v>
              </c:pt>
              <c:pt idx="7">
                <c:v>0.43861950863067062</c:v>
              </c:pt>
              <c:pt idx="8">
                <c:v>0.36497821317510198</c:v>
              </c:pt>
              <c:pt idx="9">
                <c:v>0.30597323719712988</c:v>
              </c:pt>
              <c:pt idx="10">
                <c:v>0.25006757416882186</c:v>
              </c:pt>
              <c:pt idx="11">
                <c:v>0.19311607899743091</c:v>
              </c:pt>
              <c:pt idx="12">
                <c:v>0.13474273912378404</c:v>
              </c:pt>
              <c:pt idx="13">
                <c:v>7.5844897134089179E-2</c:v>
              </c:pt>
              <c:pt idx="14">
                <c:v>1.6226078563812061E-2</c:v>
              </c:pt>
            </c:numLit>
          </c:val>
          <c:extLst>
            <c:ext xmlns:c16="http://schemas.microsoft.com/office/drawing/2014/chart" uri="{C3380CC4-5D6E-409C-BE32-E72D297353CC}">
              <c16:uniqueId val="{00000000-F53B-4A73-BF8A-239B0C81CC4E}"/>
            </c:ext>
          </c:extLst>
        </c:ser>
        <c:ser>
          <c:idx val="1"/>
          <c:order val="1"/>
          <c:tx>
            <c:v>Local smart charging - V1H</c:v>
          </c:tx>
          <c:spPr>
            <a:solidFill>
              <a:schemeClr val="accent6"/>
            </a:solidFill>
            <a:ln>
              <a:noFill/>
            </a:ln>
            <a:effectLst/>
          </c:spPr>
          <c:cat>
            <c:numLit>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Lit>
          </c:cat>
          <c:val>
            <c:numLit>
              <c:formatCode>General</c:formatCode>
              <c:ptCount val="15"/>
              <c:pt idx="0">
                <c:v>5.468399999999999E-2</c:v>
              </c:pt>
              <c:pt idx="1">
                <c:v>9.5013037062079697E-2</c:v>
              </c:pt>
              <c:pt idx="2">
                <c:v>0.18263554563821233</c:v>
              </c:pt>
              <c:pt idx="3">
                <c:v>0.24232630530541246</c:v>
              </c:pt>
              <c:pt idx="4">
                <c:v>0.27961954324386989</c:v>
              </c:pt>
              <c:pt idx="5">
                <c:v>0.33168875490598193</c:v>
              </c:pt>
              <c:pt idx="6">
                <c:v>0.36456442298583219</c:v>
              </c:pt>
              <c:pt idx="7">
                <c:v>0.39766264225648085</c:v>
              </c:pt>
              <c:pt idx="8">
                <c:v>0.43040069971410788</c:v>
              </c:pt>
              <c:pt idx="9">
                <c:v>0.44649977861253953</c:v>
              </c:pt>
              <c:pt idx="10">
                <c:v>0.45942176223707493</c:v>
              </c:pt>
              <c:pt idx="11">
                <c:v>0.47143124836684325</c:v>
              </c:pt>
              <c:pt idx="12">
                <c:v>0.48240556558185105</c:v>
              </c:pt>
              <c:pt idx="13">
                <c:v>0.49225631393280839</c:v>
              </c:pt>
              <c:pt idx="14">
                <c:v>0.50093619871251271</c:v>
              </c:pt>
            </c:numLit>
          </c:val>
          <c:extLst>
            <c:ext xmlns:c16="http://schemas.microsoft.com/office/drawing/2014/chart" uri="{C3380CC4-5D6E-409C-BE32-E72D297353CC}">
              <c16:uniqueId val="{00000001-F53B-4A73-BF8A-239B0C81CC4E}"/>
            </c:ext>
          </c:extLst>
        </c:ser>
        <c:ser>
          <c:idx val="2"/>
          <c:order val="2"/>
          <c:tx>
            <c:v>Market smart charging - V1M</c:v>
          </c:tx>
          <c:spPr>
            <a:pattFill prst="dkDnDiag">
              <a:fgClr>
                <a:schemeClr val="accent6"/>
              </a:fgClr>
              <a:bgClr>
                <a:schemeClr val="bg1"/>
              </a:bgClr>
            </a:pattFill>
            <a:ln>
              <a:noFill/>
            </a:ln>
            <a:effectLst/>
          </c:spPr>
          <c:cat>
            <c:numLit>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Lit>
          </c:cat>
          <c:val>
            <c:numLit>
              <c:formatCode>General</c:formatCode>
              <c:ptCount val="15"/>
              <c:pt idx="0">
                <c:v>0</c:v>
              </c:pt>
              <c:pt idx="1">
                <c:v>0</c:v>
              </c:pt>
              <c:pt idx="2">
                <c:v>8.3175254003352191E-3</c:v>
              </c:pt>
              <c:pt idx="3">
                <c:v>5.4339634623289029E-2</c:v>
              </c:pt>
              <c:pt idx="4">
                <c:v>7.2856024163048289E-2</c:v>
              </c:pt>
              <c:pt idx="5">
                <c:v>9.9255733906755225E-2</c:v>
              </c:pt>
              <c:pt idx="6">
                <c:v>0.12301343629388559</c:v>
              </c:pt>
              <c:pt idx="7">
                <c:v>0.14987899467322915</c:v>
              </c:pt>
              <c:pt idx="8">
                <c:v>0.17997219222572905</c:v>
              </c:pt>
              <c:pt idx="9">
                <c:v>0.20609280400858945</c:v>
              </c:pt>
              <c:pt idx="10">
                <c:v>0.2332167043044191</c:v>
              </c:pt>
              <c:pt idx="11">
                <c:v>0.26238049579956491</c:v>
              </c:pt>
              <c:pt idx="12">
                <c:v>0.29363980068144346</c:v>
              </c:pt>
              <c:pt idx="13">
                <c:v>0.32706639781857177</c:v>
              </c:pt>
              <c:pt idx="14">
                <c:v>0.36274690251595743</c:v>
              </c:pt>
            </c:numLit>
          </c:val>
          <c:extLst>
            <c:ext xmlns:c16="http://schemas.microsoft.com/office/drawing/2014/chart" uri="{C3380CC4-5D6E-409C-BE32-E72D297353CC}">
              <c16:uniqueId val="{00000002-F53B-4A73-BF8A-239B0C81CC4E}"/>
            </c:ext>
          </c:extLst>
        </c:ser>
        <c:ser>
          <c:idx val="3"/>
          <c:order val="3"/>
          <c:tx>
            <c:v>Bi-direcitonal local demand response - V2H</c:v>
          </c:tx>
          <c:spPr>
            <a:solidFill>
              <a:schemeClr val="accent1"/>
            </a:solidFill>
            <a:ln>
              <a:noFill/>
            </a:ln>
            <a:effectLst/>
          </c:spPr>
          <c:cat>
            <c:numLit>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Lit>
          </c:cat>
          <c:val>
            <c:numLit>
              <c:formatCode>General</c:formatCode>
              <c:ptCount val="15"/>
              <c:pt idx="0">
                <c:v>1.4317888475058427E-6</c:v>
              </c:pt>
              <c:pt idx="1">
                <c:v>2.8476582991536503E-4</c:v>
              </c:pt>
              <c:pt idx="2">
                <c:v>6.035148642977372E-4</c:v>
              </c:pt>
              <c:pt idx="3">
                <c:v>2.2454120463819686E-3</c:v>
              </c:pt>
              <c:pt idx="4">
                <c:v>2.9402040841764359E-3</c:v>
              </c:pt>
              <c:pt idx="5">
                <c:v>4.0180659420600041E-3</c:v>
              </c:pt>
              <c:pt idx="6">
                <c:v>5.5438062945085782E-3</c:v>
              </c:pt>
              <c:pt idx="7">
                <c:v>1.29411506185402E-2</c:v>
              </c:pt>
              <c:pt idx="8">
                <c:v>2.1413333339185651E-2</c:v>
              </c:pt>
              <c:pt idx="9">
                <c:v>3.2842709028856901E-2</c:v>
              </c:pt>
              <c:pt idx="10">
                <c:v>4.1754335086254001E-2</c:v>
              </c:pt>
              <c:pt idx="11">
                <c:v>4.8785538566813294E-2</c:v>
              </c:pt>
              <c:pt idx="12">
                <c:v>5.6163422542365629E-2</c:v>
              </c:pt>
              <c:pt idx="13">
                <c:v>6.3381589772211186E-2</c:v>
              </c:pt>
              <c:pt idx="14">
                <c:v>7.0493836064450657E-2</c:v>
              </c:pt>
            </c:numLit>
          </c:val>
          <c:extLst>
            <c:ext xmlns:c16="http://schemas.microsoft.com/office/drawing/2014/chart" uri="{C3380CC4-5D6E-409C-BE32-E72D297353CC}">
              <c16:uniqueId val="{00000003-F53B-4A73-BF8A-239B0C81CC4E}"/>
            </c:ext>
          </c:extLst>
        </c:ser>
        <c:ser>
          <c:idx val="4"/>
          <c:order val="4"/>
          <c:tx>
            <c:v>Bi-direcitonal market demand response - V2M</c:v>
          </c:tx>
          <c:spPr>
            <a:pattFill prst="dkDnDiag">
              <a:fgClr>
                <a:schemeClr val="accent1"/>
              </a:fgClr>
              <a:bgClr>
                <a:schemeClr val="bg1"/>
              </a:bgClr>
            </a:pattFill>
            <a:ln>
              <a:noFill/>
            </a:ln>
            <a:effectLst/>
          </c:spPr>
          <c:cat>
            <c:numLit>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Lit>
          </c:cat>
          <c:val>
            <c:numLit>
              <c:formatCode>General</c:formatCode>
              <c:ptCount val="15"/>
              <c:pt idx="0">
                <c:v>0</c:v>
              </c:pt>
              <c:pt idx="1">
                <c:v>0</c:v>
              </c:pt>
              <c:pt idx="2">
                <c:v>0</c:v>
              </c:pt>
              <c:pt idx="3">
                <c:v>0</c:v>
              </c:pt>
              <c:pt idx="4">
                <c:v>0</c:v>
              </c:pt>
              <c:pt idx="5">
                <c:v>0</c:v>
              </c:pt>
              <c:pt idx="6">
                <c:v>0</c:v>
              </c:pt>
              <c:pt idx="7">
                <c:v>8.9770382107918166E-4</c:v>
              </c:pt>
              <c:pt idx="8">
                <c:v>3.2355615458754426E-3</c:v>
              </c:pt>
              <c:pt idx="9">
                <c:v>8.591471152884252E-3</c:v>
              </c:pt>
              <c:pt idx="10">
                <c:v>1.5539624203430032E-2</c:v>
              </c:pt>
              <c:pt idx="11">
                <c:v>2.4286638269347509E-2</c:v>
              </c:pt>
              <c:pt idx="12">
                <c:v>3.3048472070555827E-2</c:v>
              </c:pt>
              <c:pt idx="13">
                <c:v>4.1450801342319571E-2</c:v>
              </c:pt>
              <c:pt idx="14">
                <c:v>4.95969841432672E-2</c:v>
              </c:pt>
            </c:numLit>
          </c:val>
          <c:extLst>
            <c:ext xmlns:c16="http://schemas.microsoft.com/office/drawing/2014/chart" uri="{C3380CC4-5D6E-409C-BE32-E72D297353CC}">
              <c16:uniqueId val="{00000004-F53B-4A73-BF8A-239B0C81CC4E}"/>
            </c:ext>
          </c:extLst>
        </c:ser>
        <c:dLbls>
          <c:showLegendKey val="0"/>
          <c:showVal val="0"/>
          <c:showCatName val="0"/>
          <c:showSerName val="0"/>
          <c:showPercent val="0"/>
          <c:showBubbleSize val="0"/>
        </c:dLbls>
        <c:axId val="890406447"/>
        <c:axId val="890410607"/>
      </c:areaChart>
      <c:catAx>
        <c:axId val="890406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90410607"/>
        <c:crosses val="autoZero"/>
        <c:auto val="1"/>
        <c:lblAlgn val="ctr"/>
        <c:lblOffset val="100"/>
        <c:noMultiLvlLbl val="0"/>
      </c:catAx>
      <c:valAx>
        <c:axId val="8904106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a:t>
                </a:r>
                <a:r>
                  <a:rPr lang="nl-BE" baseline="0"/>
                  <a:t> of the asset installed base]</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9040644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800" b="0" i="0" baseline="0">
                <a:effectLst/>
              </a:rPr>
              <a:t>HP - Forecast of HP Flex options - Residential</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areaChart>
        <c:grouping val="percentStacked"/>
        <c:varyColors val="0"/>
        <c:ser>
          <c:idx val="0"/>
          <c:order val="0"/>
          <c:tx>
            <c:v>Natural load - HP0</c:v>
          </c:tx>
          <c:spPr>
            <a:solidFill>
              <a:schemeClr val="tx1">
                <a:lumMod val="50000"/>
                <a:lumOff val="50000"/>
              </a:schemeClr>
            </a:solidFill>
            <a:ln>
              <a:noFill/>
            </a:ln>
            <a:effectLst/>
          </c:spPr>
          <c:cat>
            <c:numLit>
              <c:formatCode>General</c:formatCode>
              <c:ptCount val="1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numLit>
          </c:cat>
          <c:val>
            <c:numLit>
              <c:formatCode>General</c:formatCode>
              <c:ptCount val="16"/>
              <c:pt idx="0">
                <c:v>0.98354769742748893</c:v>
              </c:pt>
              <c:pt idx="1">
                <c:v>0.96170081761437687</c:v>
              </c:pt>
              <c:pt idx="2">
                <c:v>0.95324945072740319</c:v>
              </c:pt>
              <c:pt idx="3">
                <c:v>0.91575618807952486</c:v>
              </c:pt>
              <c:pt idx="4">
                <c:v>0.83129512844043429</c:v>
              </c:pt>
              <c:pt idx="5">
                <c:v>0.81868873863445712</c:v>
              </c:pt>
              <c:pt idx="6">
                <c:v>0.78389320386953865</c:v>
              </c:pt>
              <c:pt idx="7">
                <c:v>0.73942361669638323</c:v>
              </c:pt>
              <c:pt idx="8">
                <c:v>0.69398234398456948</c:v>
              </c:pt>
              <c:pt idx="9">
                <c:v>0.63819782012160575</c:v>
              </c:pt>
              <c:pt idx="10">
                <c:v>0.59062849305289844</c:v>
              </c:pt>
              <c:pt idx="11">
                <c:v>0.53931849908983254</c:v>
              </c:pt>
              <c:pt idx="12">
                <c:v>0.48404625662150386</c:v>
              </c:pt>
              <c:pt idx="13">
                <c:v>0.42628163496067012</c:v>
              </c:pt>
              <c:pt idx="14">
                <c:v>0.36350116940100807</c:v>
              </c:pt>
              <c:pt idx="15">
                <c:v>0.29703049735482656</c:v>
              </c:pt>
            </c:numLit>
          </c:val>
          <c:extLst>
            <c:ext xmlns:c16="http://schemas.microsoft.com/office/drawing/2014/chart" uri="{C3380CC4-5D6E-409C-BE32-E72D297353CC}">
              <c16:uniqueId val="{00000000-0153-4B92-B073-38AF6B626537}"/>
            </c:ext>
          </c:extLst>
        </c:ser>
        <c:ser>
          <c:idx val="1"/>
          <c:order val="1"/>
          <c:tx>
            <c:v>Local smart load - HP1H</c:v>
          </c:tx>
          <c:spPr>
            <a:solidFill>
              <a:schemeClr val="accent6"/>
            </a:solidFill>
            <a:ln>
              <a:noFill/>
            </a:ln>
            <a:effectLst/>
          </c:spPr>
          <c:cat>
            <c:numLit>
              <c:formatCode>General</c:formatCode>
              <c:ptCount val="1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numLit>
          </c:cat>
          <c:val>
            <c:numLit>
              <c:formatCode>General</c:formatCode>
              <c:ptCount val="16"/>
              <c:pt idx="0">
                <c:v>1.645230257251112E-2</c:v>
              </c:pt>
              <c:pt idx="1">
                <c:v>3.8299182385623166E-2</c:v>
              </c:pt>
              <c:pt idx="2">
                <c:v>4.6750549272596774E-2</c:v>
              </c:pt>
              <c:pt idx="3">
                <c:v>8.4243811920475142E-2</c:v>
              </c:pt>
              <c:pt idx="4">
                <c:v>0.12652865366967431</c:v>
              </c:pt>
              <c:pt idx="5">
                <c:v>0.13598344602415713</c:v>
              </c:pt>
              <c:pt idx="6">
                <c:v>0.1620800970978459</c:v>
              </c:pt>
              <c:pt idx="7">
                <c:v>0.19543228747771266</c:v>
              </c:pt>
              <c:pt idx="8">
                <c:v>0.22951324201157292</c:v>
              </c:pt>
              <c:pt idx="9">
                <c:v>0.27135163490879566</c:v>
              </c:pt>
              <c:pt idx="10">
                <c:v>0.30702863021032606</c:v>
              </c:pt>
              <c:pt idx="11">
                <c:v>0.34551112568262554</c:v>
              </c:pt>
              <c:pt idx="12">
                <c:v>0.38696530753387209</c:v>
              </c:pt>
              <c:pt idx="13">
                <c:v>0.43028877377949742</c:v>
              </c:pt>
              <c:pt idx="14">
                <c:v>0.47737412294924392</c:v>
              </c:pt>
              <c:pt idx="15">
                <c:v>0.52722712698388008</c:v>
              </c:pt>
            </c:numLit>
          </c:val>
          <c:extLst>
            <c:ext xmlns:c16="http://schemas.microsoft.com/office/drawing/2014/chart" uri="{C3380CC4-5D6E-409C-BE32-E72D297353CC}">
              <c16:uniqueId val="{00000001-0153-4B92-B073-38AF6B626537}"/>
            </c:ext>
          </c:extLst>
        </c:ser>
        <c:ser>
          <c:idx val="2"/>
          <c:order val="2"/>
          <c:tx>
            <c:v>Market smart load - HP1M</c:v>
          </c:tx>
          <c:spPr>
            <a:pattFill prst="dkDnDiag">
              <a:fgClr>
                <a:schemeClr val="accent6"/>
              </a:fgClr>
              <a:bgClr>
                <a:schemeClr val="bg1"/>
              </a:bgClr>
            </a:pattFill>
            <a:ln w="25400">
              <a:noFill/>
            </a:ln>
            <a:effectLst/>
          </c:spPr>
          <c:cat>
            <c:numLit>
              <c:formatCode>General</c:formatCode>
              <c:ptCount val="1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numLit>
          </c:cat>
          <c:val>
            <c:numLit>
              <c:formatCode>General</c:formatCode>
              <c:ptCount val="16"/>
              <c:pt idx="0">
                <c:v>0</c:v>
              </c:pt>
              <c:pt idx="1">
                <c:v>0</c:v>
              </c:pt>
              <c:pt idx="2">
                <c:v>0</c:v>
              </c:pt>
              <c:pt idx="3">
                <c:v>0</c:v>
              </c:pt>
              <c:pt idx="4">
                <c:v>4.2176217889891433E-2</c:v>
              </c:pt>
              <c:pt idx="5">
                <c:v>4.5327815341385712E-2</c:v>
              </c:pt>
              <c:pt idx="6">
                <c:v>5.4026699032615297E-2</c:v>
              </c:pt>
              <c:pt idx="7">
                <c:v>6.5144095825904205E-2</c:v>
              </c:pt>
              <c:pt idx="8">
                <c:v>7.6504414003857615E-2</c:v>
              </c:pt>
              <c:pt idx="9">
                <c:v>9.0450544969598534E-2</c:v>
              </c:pt>
              <c:pt idx="10">
                <c:v>0.10234287673677536</c:v>
              </c:pt>
              <c:pt idx="11">
                <c:v>0.11517037522754188</c:v>
              </c:pt>
              <c:pt idx="12">
                <c:v>0.12898843584462405</c:v>
              </c:pt>
              <c:pt idx="13">
                <c:v>0.14342959125983243</c:v>
              </c:pt>
              <c:pt idx="14">
                <c:v>0.15912470764974798</c:v>
              </c:pt>
              <c:pt idx="15">
                <c:v>0.17574237566129342</c:v>
              </c:pt>
            </c:numLit>
          </c:val>
          <c:extLst>
            <c:ext xmlns:c16="http://schemas.microsoft.com/office/drawing/2014/chart" uri="{C3380CC4-5D6E-409C-BE32-E72D297353CC}">
              <c16:uniqueId val="{00000002-0153-4B92-B073-38AF6B626537}"/>
            </c:ext>
          </c:extLst>
        </c:ser>
        <c:dLbls>
          <c:showLegendKey val="0"/>
          <c:showVal val="0"/>
          <c:showCatName val="0"/>
          <c:showSerName val="0"/>
          <c:showPercent val="0"/>
          <c:showBubbleSize val="0"/>
        </c:dLbls>
        <c:axId val="890406447"/>
        <c:axId val="890410607"/>
      </c:areaChart>
      <c:catAx>
        <c:axId val="890406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90410607"/>
        <c:crosses val="autoZero"/>
        <c:auto val="1"/>
        <c:lblAlgn val="ctr"/>
        <c:lblOffset val="100"/>
        <c:noMultiLvlLbl val="0"/>
      </c:catAx>
      <c:valAx>
        <c:axId val="8904106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sz="1000" b="0" i="0" u="none" strike="noStrike" baseline="0">
                    <a:effectLst/>
                  </a:rPr>
                  <a:t>[% of the asset installed base]</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9040644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Smart meters penetration by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areaChart>
        <c:grouping val="stacked"/>
        <c:varyColors val="0"/>
        <c:ser>
          <c:idx val="0"/>
          <c:order val="0"/>
          <c:tx>
            <c:strRef>
              <c:f>'3.3. DSR end-user'!$E$15</c:f>
              <c:strCache>
                <c:ptCount val="1"/>
                <c:pt idx="0">
                  <c:v>Flanders</c:v>
                </c:pt>
              </c:strCache>
            </c:strRef>
          </c:tx>
          <c:spPr>
            <a:solidFill>
              <a:schemeClr val="accent5">
                <a:shade val="65000"/>
              </a:schemeClr>
            </a:solidFill>
            <a:ln>
              <a:noFill/>
            </a:ln>
            <a:effectLst/>
          </c:spPr>
          <c:cat>
            <c:numRef>
              <c:f>'3.3. DSR end-user'!$F$11:$U$11</c:f>
              <c:numCache>
                <c:formatCode>General</c:formatCode>
                <c:ptCount val="1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numCache>
            </c:numRef>
          </c:cat>
          <c:val>
            <c:numRef>
              <c:f>'3.3. DSR end-user'!$F$15:$U$15</c:f>
              <c:numCache>
                <c:formatCode>0.0</c:formatCode>
                <c:ptCount val="16"/>
                <c:pt idx="0">
                  <c:v>0.47799999999999998</c:v>
                </c:pt>
                <c:pt idx="1">
                  <c:v>1.046</c:v>
                </c:pt>
                <c:pt idx="2">
                  <c:v>1.2</c:v>
                </c:pt>
                <c:pt idx="3">
                  <c:v>1.9430000000000001</c:v>
                </c:pt>
                <c:pt idx="4">
                  <c:v>2.6859999999999999</c:v>
                </c:pt>
                <c:pt idx="5">
                  <c:v>2.8210000000000002</c:v>
                </c:pt>
                <c:pt idx="6">
                  <c:v>2.9550000000000001</c:v>
                </c:pt>
                <c:pt idx="7">
                  <c:v>3.089</c:v>
                </c:pt>
                <c:pt idx="8">
                  <c:v>3.2240000000000002</c:v>
                </c:pt>
                <c:pt idx="9">
                  <c:v>3.3580000000000001</c:v>
                </c:pt>
                <c:pt idx="10">
                  <c:v>3.3580000000000001</c:v>
                </c:pt>
                <c:pt idx="11">
                  <c:v>3.3580000000000001</c:v>
                </c:pt>
                <c:pt idx="12">
                  <c:v>3.3580000000000001</c:v>
                </c:pt>
                <c:pt idx="13">
                  <c:v>3.3580000000000001</c:v>
                </c:pt>
                <c:pt idx="14">
                  <c:v>3.3580000000000001</c:v>
                </c:pt>
                <c:pt idx="15">
                  <c:v>3.3580000000000001</c:v>
                </c:pt>
              </c:numCache>
            </c:numRef>
          </c:val>
          <c:extLst>
            <c:ext xmlns:c16="http://schemas.microsoft.com/office/drawing/2014/chart" uri="{C3380CC4-5D6E-409C-BE32-E72D297353CC}">
              <c16:uniqueId val="{00000000-6576-46A9-B005-2C00EEC35833}"/>
            </c:ext>
          </c:extLst>
        </c:ser>
        <c:ser>
          <c:idx val="1"/>
          <c:order val="1"/>
          <c:tx>
            <c:strRef>
              <c:f>'3.3. DSR end-user'!$E$16</c:f>
              <c:strCache>
                <c:ptCount val="1"/>
                <c:pt idx="0">
                  <c:v>Wallonia</c:v>
                </c:pt>
              </c:strCache>
            </c:strRef>
          </c:tx>
          <c:spPr>
            <a:solidFill>
              <a:schemeClr val="accent5"/>
            </a:solidFill>
            <a:ln>
              <a:noFill/>
            </a:ln>
            <a:effectLst/>
          </c:spPr>
          <c:cat>
            <c:numRef>
              <c:f>'3.3. DSR end-user'!$F$11:$U$11</c:f>
              <c:numCache>
                <c:formatCode>General</c:formatCode>
                <c:ptCount val="1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numCache>
            </c:numRef>
          </c:cat>
          <c:val>
            <c:numRef>
              <c:f>'3.3. DSR end-user'!$F$16:$U$16</c:f>
              <c:numCache>
                <c:formatCode>0.0</c:formatCode>
                <c:ptCount val="16"/>
                <c:pt idx="0">
                  <c:v>0</c:v>
                </c:pt>
                <c:pt idx="1">
                  <c:v>0</c:v>
                </c:pt>
                <c:pt idx="2">
                  <c:v>0.09</c:v>
                </c:pt>
                <c:pt idx="3">
                  <c:v>0.22</c:v>
                </c:pt>
                <c:pt idx="4">
                  <c:v>0.35</c:v>
                </c:pt>
                <c:pt idx="5">
                  <c:v>0.48</c:v>
                </c:pt>
                <c:pt idx="6">
                  <c:v>0.61</c:v>
                </c:pt>
                <c:pt idx="7">
                  <c:v>0.74</c:v>
                </c:pt>
                <c:pt idx="8">
                  <c:v>0.87</c:v>
                </c:pt>
                <c:pt idx="9">
                  <c:v>1</c:v>
                </c:pt>
                <c:pt idx="10">
                  <c:v>1.1200000000000001</c:v>
                </c:pt>
                <c:pt idx="11">
                  <c:v>1.24</c:v>
                </c:pt>
                <c:pt idx="12">
                  <c:v>1.36</c:v>
                </c:pt>
                <c:pt idx="13">
                  <c:v>1.48</c:v>
                </c:pt>
                <c:pt idx="14">
                  <c:v>1.6</c:v>
                </c:pt>
                <c:pt idx="15">
                  <c:v>1.72</c:v>
                </c:pt>
              </c:numCache>
            </c:numRef>
          </c:val>
          <c:extLst>
            <c:ext xmlns:c16="http://schemas.microsoft.com/office/drawing/2014/chart" uri="{C3380CC4-5D6E-409C-BE32-E72D297353CC}">
              <c16:uniqueId val="{00000001-6576-46A9-B005-2C00EEC35833}"/>
            </c:ext>
          </c:extLst>
        </c:ser>
        <c:ser>
          <c:idx val="2"/>
          <c:order val="2"/>
          <c:tx>
            <c:strRef>
              <c:f>'3.3. DSR end-user'!$E$17</c:f>
              <c:strCache>
                <c:ptCount val="1"/>
                <c:pt idx="0">
                  <c:v>Brussels</c:v>
                </c:pt>
              </c:strCache>
            </c:strRef>
          </c:tx>
          <c:spPr>
            <a:solidFill>
              <a:schemeClr val="accent5">
                <a:tint val="65000"/>
              </a:schemeClr>
            </a:solidFill>
            <a:ln>
              <a:noFill/>
            </a:ln>
            <a:effectLst/>
          </c:spPr>
          <c:cat>
            <c:numRef>
              <c:f>'3.3. DSR end-user'!$F$11:$U$11</c:f>
              <c:numCache>
                <c:formatCode>General</c:formatCode>
                <c:ptCount val="1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numCache>
            </c:numRef>
          </c:cat>
          <c:val>
            <c:numRef>
              <c:f>'3.3. DSR end-user'!$F$17:$U$17</c:f>
              <c:numCache>
                <c:formatCode>0.0</c:formatCode>
                <c:ptCount val="16"/>
                <c:pt idx="0">
                  <c:v>0</c:v>
                </c:pt>
                <c:pt idx="1">
                  <c:v>0.03</c:v>
                </c:pt>
                <c:pt idx="2">
                  <c:v>3.5000000000000003E-2</c:v>
                </c:pt>
                <c:pt idx="3">
                  <c:v>7.4999999999999997E-2</c:v>
                </c:pt>
                <c:pt idx="4">
                  <c:v>0.125</c:v>
                </c:pt>
                <c:pt idx="5">
                  <c:v>0.17499999999999999</c:v>
                </c:pt>
                <c:pt idx="6">
                  <c:v>0.22500000000000001</c:v>
                </c:pt>
                <c:pt idx="7">
                  <c:v>0.27500000000000002</c:v>
                </c:pt>
                <c:pt idx="8">
                  <c:v>0.32500000000000001</c:v>
                </c:pt>
                <c:pt idx="9">
                  <c:v>0.375</c:v>
                </c:pt>
                <c:pt idx="10">
                  <c:v>0.42499999999999999</c:v>
                </c:pt>
                <c:pt idx="11">
                  <c:v>0.47499999999999998</c:v>
                </c:pt>
                <c:pt idx="12">
                  <c:v>0.52500000000000002</c:v>
                </c:pt>
                <c:pt idx="13">
                  <c:v>0.57499999999999996</c:v>
                </c:pt>
                <c:pt idx="14">
                  <c:v>0.625</c:v>
                </c:pt>
                <c:pt idx="15">
                  <c:v>0.67500000000000004</c:v>
                </c:pt>
              </c:numCache>
            </c:numRef>
          </c:val>
          <c:extLst>
            <c:ext xmlns:c16="http://schemas.microsoft.com/office/drawing/2014/chart" uri="{C3380CC4-5D6E-409C-BE32-E72D297353CC}">
              <c16:uniqueId val="{00000002-6576-46A9-B005-2C00EEC35833}"/>
            </c:ext>
          </c:extLst>
        </c:ser>
        <c:dLbls>
          <c:showLegendKey val="0"/>
          <c:showVal val="0"/>
          <c:showCatName val="0"/>
          <c:showSerName val="0"/>
          <c:showPercent val="0"/>
          <c:showBubbleSize val="0"/>
        </c:dLbls>
        <c:axId val="809867752"/>
        <c:axId val="809865128"/>
      </c:areaChart>
      <c:catAx>
        <c:axId val="80986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09865128"/>
        <c:crosses val="autoZero"/>
        <c:auto val="1"/>
        <c:lblAlgn val="ctr"/>
        <c:lblOffset val="100"/>
        <c:noMultiLvlLbl val="0"/>
      </c:catAx>
      <c:valAx>
        <c:axId val="809865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[Mil.]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098677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nl-BE"/>
              <a:t>CO2 price forecast for EU &amp; UK</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lineChart>
        <c:grouping val="standard"/>
        <c:varyColors val="0"/>
        <c:ser>
          <c:idx val="0"/>
          <c:order val="0"/>
          <c:tx>
            <c:strRef>
              <c:f>'4.1. Fuel and CO2 prices'!$B$24</c:f>
              <c:strCache>
                <c:ptCount val="1"/>
                <c:pt idx="0">
                  <c:v>CO2 EUA [€/tCO2]</c:v>
                </c:pt>
              </c:strCache>
            </c:strRef>
          </c:tx>
          <c:spPr>
            <a:ln w="57150" cap="rnd">
              <a:solidFill>
                <a:srgbClr val="0070C0"/>
              </a:solidFill>
              <a:round/>
            </a:ln>
            <a:effectLst/>
          </c:spPr>
          <c:marker>
            <c:symbol val="none"/>
          </c:marker>
          <c:cat>
            <c:numRef>
              <c:f>'4.1. Fuel and CO2 prices'!$C$19:$O$19</c:f>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f>'4.1. Fuel and CO2 prices'!$C$24:$O$24</c:f>
              <c:numCache>
                <c:formatCode>0.0</c:formatCode>
                <c:ptCount val="13"/>
                <c:pt idx="0">
                  <c:v>75</c:v>
                </c:pt>
                <c:pt idx="1">
                  <c:v>78.7</c:v>
                </c:pt>
                <c:pt idx="2">
                  <c:v>83</c:v>
                </c:pt>
                <c:pt idx="3">
                  <c:v>89.04</c:v>
                </c:pt>
                <c:pt idx="4">
                  <c:v>96.18</c:v>
                </c:pt>
                <c:pt idx="5">
                  <c:v>103.32000000000001</c:v>
                </c:pt>
                <c:pt idx="6">
                  <c:v>110.46000000000001</c:v>
                </c:pt>
                <c:pt idx="7">
                  <c:v>117.60000000000001</c:v>
                </c:pt>
                <c:pt idx="8">
                  <c:v>124.74</c:v>
                </c:pt>
                <c:pt idx="9">
                  <c:v>128.1</c:v>
                </c:pt>
                <c:pt idx="10">
                  <c:v>131.45999999999998</c:v>
                </c:pt>
                <c:pt idx="11">
                  <c:v>134.81999999999996</c:v>
                </c:pt>
                <c:pt idx="12">
                  <c:v>138.17999999999998</c:v>
                </c:pt>
              </c:numCache>
            </c:numRef>
          </c:val>
          <c:smooth val="0"/>
          <c:extLst>
            <c:ext xmlns:c16="http://schemas.microsoft.com/office/drawing/2014/chart" uri="{C3380CC4-5D6E-409C-BE32-E72D297353CC}">
              <c16:uniqueId val="{00000000-7030-4F41-802E-67DA456E774D}"/>
            </c:ext>
          </c:extLst>
        </c:ser>
        <c:ser>
          <c:idx val="1"/>
          <c:order val="1"/>
          <c:tx>
            <c:strRef>
              <c:f>'4.1. Fuel and CO2 prices'!$B$25</c:f>
              <c:strCache>
                <c:ptCount val="1"/>
                <c:pt idx="0">
                  <c:v>CO2 UKA [€/tCO2]</c:v>
                </c:pt>
              </c:strCache>
            </c:strRef>
          </c:tx>
          <c:spPr>
            <a:ln w="57150" cap="rnd">
              <a:solidFill>
                <a:srgbClr val="C00000"/>
              </a:solidFill>
              <a:round/>
            </a:ln>
            <a:effectLst/>
          </c:spPr>
          <c:marker>
            <c:symbol val="none"/>
          </c:marker>
          <c:cat>
            <c:numRef>
              <c:f>'4.1. Fuel and CO2 prices'!$C$19:$O$19</c:f>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f>'4.1. Fuel and CO2 prices'!$C$25:$O$25</c:f>
              <c:numCache>
                <c:formatCode>0.0</c:formatCode>
                <c:ptCount val="13"/>
                <c:pt idx="0">
                  <c:v>80</c:v>
                </c:pt>
                <c:pt idx="1">
                  <c:v>85.592500000000001</c:v>
                </c:pt>
                <c:pt idx="2">
                  <c:v>91.185000000000002</c:v>
                </c:pt>
                <c:pt idx="3">
                  <c:v>96.777500000000003</c:v>
                </c:pt>
                <c:pt idx="4">
                  <c:v>102.37</c:v>
                </c:pt>
                <c:pt idx="5">
                  <c:v>107.96250000000001</c:v>
                </c:pt>
                <c:pt idx="6">
                  <c:v>113.55500000000001</c:v>
                </c:pt>
                <c:pt idx="7">
                  <c:v>119.14750000000001</c:v>
                </c:pt>
                <c:pt idx="8">
                  <c:v>124.74</c:v>
                </c:pt>
                <c:pt idx="9">
                  <c:v>128.1</c:v>
                </c:pt>
                <c:pt idx="10">
                  <c:v>131.45999999999998</c:v>
                </c:pt>
                <c:pt idx="11">
                  <c:v>134.81999999999996</c:v>
                </c:pt>
                <c:pt idx="12">
                  <c:v>138.17999999999998</c:v>
                </c:pt>
              </c:numCache>
            </c:numRef>
          </c:val>
          <c:smooth val="0"/>
          <c:extLst>
            <c:ext xmlns:c16="http://schemas.microsoft.com/office/drawing/2014/chart" uri="{C3380CC4-5D6E-409C-BE32-E72D297353CC}">
              <c16:uniqueId val="{00000001-7030-4F41-802E-67DA456E774D}"/>
            </c:ext>
          </c:extLst>
        </c:ser>
        <c:dLbls>
          <c:showLegendKey val="0"/>
          <c:showVal val="0"/>
          <c:showCatName val="0"/>
          <c:showSerName val="0"/>
          <c:showPercent val="0"/>
          <c:showBubbleSize val="0"/>
        </c:dLbls>
        <c:smooth val="0"/>
        <c:axId val="434610528"/>
        <c:axId val="434606920"/>
      </c:lineChart>
      <c:catAx>
        <c:axId val="43461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crossAx val="434606920"/>
        <c:crosses val="autoZero"/>
        <c:auto val="1"/>
        <c:lblAlgn val="ctr"/>
        <c:lblOffset val="100"/>
        <c:noMultiLvlLbl val="0"/>
      </c:catAx>
      <c:valAx>
        <c:axId val="434606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nl-BE"/>
                  <a:t>[EUR22/tCO2]</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crossAx val="434610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sz="1600"/>
      </a:pPr>
      <a:endParaRPr lang="nl-BE"/>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nl-BE"/>
              <a:t>Natural</a:t>
            </a:r>
            <a:r>
              <a:rPr lang="nl-BE" baseline="0"/>
              <a:t> gas </a:t>
            </a:r>
            <a:r>
              <a:rPr lang="en-US" sz="1920" b="0" i="0" u="none" strike="noStrike" baseline="0">
                <a:effectLst/>
              </a:rPr>
              <a:t>price forecast for EU &amp; UK</a:t>
            </a:r>
            <a:endParaRPr lang="nl-BE"/>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lineChart>
        <c:grouping val="standard"/>
        <c:varyColors val="0"/>
        <c:ser>
          <c:idx val="0"/>
          <c:order val="0"/>
          <c:tx>
            <c:strRef>
              <c:f>'4.1. Fuel and CO2 prices'!$B$20</c:f>
              <c:strCache>
                <c:ptCount val="1"/>
                <c:pt idx="0">
                  <c:v>Gas TTF [€/MWh]</c:v>
                </c:pt>
              </c:strCache>
            </c:strRef>
          </c:tx>
          <c:spPr>
            <a:ln w="57150" cap="rnd">
              <a:solidFill>
                <a:srgbClr val="0070C0"/>
              </a:solidFill>
              <a:round/>
            </a:ln>
            <a:effectLst/>
          </c:spPr>
          <c:marker>
            <c:symbol val="none"/>
          </c:marker>
          <c:cat>
            <c:numRef>
              <c:f>'4.1. Fuel and CO2 prices'!$C$19:$O$19</c:f>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f>'4.1. Fuel and CO2 prices'!$C$20:$O$20</c:f>
              <c:numCache>
                <c:formatCode>0.0</c:formatCode>
                <c:ptCount val="13"/>
                <c:pt idx="0">
                  <c:v>147.22916666666666</c:v>
                </c:pt>
                <c:pt idx="1">
                  <c:v>137.55000000000001</c:v>
                </c:pt>
                <c:pt idx="2">
                  <c:v>103.23</c:v>
                </c:pt>
                <c:pt idx="3">
                  <c:v>72.150000000000006</c:v>
                </c:pt>
                <c:pt idx="4">
                  <c:v>62.701472003275676</c:v>
                </c:pt>
                <c:pt idx="5">
                  <c:v>53.252944006551338</c:v>
                </c:pt>
                <c:pt idx="6">
                  <c:v>43.804416009827001</c:v>
                </c:pt>
                <c:pt idx="7">
                  <c:v>34.355888013102664</c:v>
                </c:pt>
                <c:pt idx="8">
                  <c:v>24.907360016378341</c:v>
                </c:pt>
                <c:pt idx="9">
                  <c:v>24.667144368239672</c:v>
                </c:pt>
                <c:pt idx="10">
                  <c:v>24.426928720101003</c:v>
                </c:pt>
                <c:pt idx="11">
                  <c:v>24.186713071962334</c:v>
                </c:pt>
                <c:pt idx="12">
                  <c:v>23.946497423823665</c:v>
                </c:pt>
              </c:numCache>
            </c:numRef>
          </c:val>
          <c:smooth val="0"/>
          <c:extLst>
            <c:ext xmlns:c16="http://schemas.microsoft.com/office/drawing/2014/chart" uri="{C3380CC4-5D6E-409C-BE32-E72D297353CC}">
              <c16:uniqueId val="{00000000-A0E5-4197-8241-219B73E451EB}"/>
            </c:ext>
          </c:extLst>
        </c:ser>
        <c:ser>
          <c:idx val="1"/>
          <c:order val="1"/>
          <c:tx>
            <c:strRef>
              <c:f>'4.1. Fuel and CO2 prices'!$B$21</c:f>
              <c:strCache>
                <c:ptCount val="1"/>
                <c:pt idx="0">
                  <c:v>Gas NBP [€/MWh]</c:v>
                </c:pt>
              </c:strCache>
            </c:strRef>
          </c:tx>
          <c:spPr>
            <a:ln w="57150" cap="rnd">
              <a:solidFill>
                <a:schemeClr val="accent2"/>
              </a:solidFill>
              <a:round/>
            </a:ln>
            <a:effectLst/>
          </c:spPr>
          <c:marker>
            <c:symbol val="none"/>
          </c:marker>
          <c:val>
            <c:numRef>
              <c:f>'4.1. Fuel and CO2 prices'!$C$21:$O$21</c:f>
              <c:numCache>
                <c:formatCode>0.0</c:formatCode>
                <c:ptCount val="13"/>
                <c:pt idx="0">
                  <c:v>103.31815419140678</c:v>
                </c:pt>
                <c:pt idx="1">
                  <c:v>130.70386647342087</c:v>
                </c:pt>
                <c:pt idx="2">
                  <c:v>105.07461779419326</c:v>
                </c:pt>
                <c:pt idx="3">
                  <c:v>76.663565384075909</c:v>
                </c:pt>
                <c:pt idx="4">
                  <c:v>67.215037387351572</c:v>
                </c:pt>
                <c:pt idx="5">
                  <c:v>57.766509390627235</c:v>
                </c:pt>
                <c:pt idx="6">
                  <c:v>48.317981393902905</c:v>
                </c:pt>
                <c:pt idx="7">
                  <c:v>38.869453397178567</c:v>
                </c:pt>
                <c:pt idx="8">
                  <c:v>24.907360016378341</c:v>
                </c:pt>
                <c:pt idx="9">
                  <c:v>24.667144368239672</c:v>
                </c:pt>
                <c:pt idx="10">
                  <c:v>24.426928720101003</c:v>
                </c:pt>
                <c:pt idx="11">
                  <c:v>24.186713071962334</c:v>
                </c:pt>
                <c:pt idx="12">
                  <c:v>23.946497423823665</c:v>
                </c:pt>
              </c:numCache>
            </c:numRef>
          </c:val>
          <c:smooth val="0"/>
          <c:extLst>
            <c:ext xmlns:c16="http://schemas.microsoft.com/office/drawing/2014/chart" uri="{C3380CC4-5D6E-409C-BE32-E72D297353CC}">
              <c16:uniqueId val="{00000001-A0E5-4197-8241-219B73E451EB}"/>
            </c:ext>
          </c:extLst>
        </c:ser>
        <c:dLbls>
          <c:showLegendKey val="0"/>
          <c:showVal val="0"/>
          <c:showCatName val="0"/>
          <c:showSerName val="0"/>
          <c:showPercent val="0"/>
          <c:showBubbleSize val="0"/>
        </c:dLbls>
        <c:smooth val="0"/>
        <c:axId val="434610528"/>
        <c:axId val="434606920"/>
      </c:lineChart>
      <c:catAx>
        <c:axId val="43461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crossAx val="434606920"/>
        <c:crosses val="autoZero"/>
        <c:auto val="1"/>
        <c:lblAlgn val="ctr"/>
        <c:lblOffset val="100"/>
        <c:noMultiLvlLbl val="0"/>
      </c:catAx>
      <c:valAx>
        <c:axId val="434606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nl-BE"/>
                  <a:t>[EUR22/MWh]</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crossAx val="434610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sz="1600"/>
      </a:pPr>
      <a:endParaRPr lang="nl-B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Coal price forecast</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lineChart>
        <c:grouping val="standard"/>
        <c:varyColors val="0"/>
        <c:ser>
          <c:idx val="0"/>
          <c:order val="0"/>
          <c:tx>
            <c:strRef>
              <c:f>'4.1. Fuel and CO2 prices'!$B$22</c:f>
              <c:strCache>
                <c:ptCount val="1"/>
                <c:pt idx="0">
                  <c:v>Coal ARA [€/MWh]</c:v>
                </c:pt>
              </c:strCache>
            </c:strRef>
          </c:tx>
          <c:spPr>
            <a:ln w="57150" cap="rnd">
              <a:solidFill>
                <a:schemeClr val="tx1"/>
              </a:solidFill>
              <a:round/>
            </a:ln>
            <a:effectLst/>
          </c:spPr>
          <c:marker>
            <c:symbol val="none"/>
          </c:marker>
          <c:cat>
            <c:numRef>
              <c:f>'4.1. Fuel and CO2 prices'!$C$19:$O$19</c:f>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f>'4.1. Fuel and CO2 prices'!$C$22:$O$22</c:f>
              <c:numCache>
                <c:formatCode>0.0</c:formatCode>
                <c:ptCount val="13"/>
                <c:pt idx="0">
                  <c:v>36.257760000000005</c:v>
                </c:pt>
                <c:pt idx="1">
                  <c:v>27.987623999999997</c:v>
                </c:pt>
                <c:pt idx="2">
                  <c:v>26.509896000000005</c:v>
                </c:pt>
                <c:pt idx="3">
                  <c:v>25.096176</c:v>
                </c:pt>
                <c:pt idx="4">
                  <c:v>21.7268352</c:v>
                </c:pt>
                <c:pt idx="5">
                  <c:v>18.3574944</c:v>
                </c:pt>
                <c:pt idx="6">
                  <c:v>14.988153599999999</c:v>
                </c:pt>
                <c:pt idx="7">
                  <c:v>11.618812799999999</c:v>
                </c:pt>
                <c:pt idx="8">
                  <c:v>8.2494720000000008</c:v>
                </c:pt>
                <c:pt idx="9">
                  <c:v>8.1924480000000006</c:v>
                </c:pt>
                <c:pt idx="10">
                  <c:v>8.1354240000000004</c:v>
                </c:pt>
                <c:pt idx="11">
                  <c:v>8.0784000000000002</c:v>
                </c:pt>
                <c:pt idx="12">
                  <c:v>8.0213760000000001</c:v>
                </c:pt>
              </c:numCache>
            </c:numRef>
          </c:val>
          <c:smooth val="0"/>
          <c:extLst>
            <c:ext xmlns:c16="http://schemas.microsoft.com/office/drawing/2014/chart" uri="{C3380CC4-5D6E-409C-BE32-E72D297353CC}">
              <c16:uniqueId val="{00000000-8F4B-4138-8AB4-DFFCA1736BE3}"/>
            </c:ext>
          </c:extLst>
        </c:ser>
        <c:dLbls>
          <c:showLegendKey val="0"/>
          <c:showVal val="0"/>
          <c:showCatName val="0"/>
          <c:showSerName val="0"/>
          <c:showPercent val="0"/>
          <c:showBubbleSize val="0"/>
        </c:dLbls>
        <c:smooth val="0"/>
        <c:axId val="434610528"/>
        <c:axId val="434606920"/>
      </c:lineChart>
      <c:catAx>
        <c:axId val="43461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crossAx val="434606920"/>
        <c:crosses val="autoZero"/>
        <c:auto val="1"/>
        <c:lblAlgn val="ctr"/>
        <c:lblOffset val="100"/>
        <c:noMultiLvlLbl val="0"/>
      </c:catAx>
      <c:valAx>
        <c:axId val="434606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nl-BE"/>
                  <a:t>[EUR22/MWh]</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crossAx val="434610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sz="1600"/>
      </a:pPr>
      <a:endParaRPr lang="nl-B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Oil price forecast</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lineChart>
        <c:grouping val="standard"/>
        <c:varyColors val="0"/>
        <c:ser>
          <c:idx val="0"/>
          <c:order val="0"/>
          <c:tx>
            <c:strRef>
              <c:f>'4.1. Fuel and CO2 prices'!$B$23</c:f>
              <c:strCache>
                <c:ptCount val="1"/>
                <c:pt idx="0">
                  <c:v>Oil [€/MWh]</c:v>
                </c:pt>
              </c:strCache>
            </c:strRef>
          </c:tx>
          <c:spPr>
            <a:ln w="57150" cap="rnd">
              <a:solidFill>
                <a:srgbClr val="7030A0"/>
              </a:solidFill>
              <a:round/>
            </a:ln>
            <a:effectLst/>
          </c:spPr>
          <c:marker>
            <c:symbol val="none"/>
          </c:marker>
          <c:cat>
            <c:numRef>
              <c:f>'4.1. Fuel and CO2 prices'!$C$19:$O$19</c:f>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f>'4.1. Fuel and CO2 prices'!$C$23:$O$23</c:f>
              <c:numCache>
                <c:formatCode>0.0</c:formatCode>
                <c:ptCount val="13"/>
                <c:pt idx="0">
                  <c:v>55.100449689600005</c:v>
                </c:pt>
                <c:pt idx="1">
                  <c:v>51.586619033600002</c:v>
                </c:pt>
                <c:pt idx="2">
                  <c:v>46.9366585856</c:v>
                </c:pt>
                <c:pt idx="3">
                  <c:v>44.208892672000005</c:v>
                </c:pt>
                <c:pt idx="4">
                  <c:v>40.348586140875668</c:v>
                </c:pt>
                <c:pt idx="5">
                  <c:v>36.488279609751331</c:v>
                </c:pt>
                <c:pt idx="6">
                  <c:v>32.627973078627001</c:v>
                </c:pt>
                <c:pt idx="7">
                  <c:v>28.767666547502664</c:v>
                </c:pt>
                <c:pt idx="8">
                  <c:v>24.907360016378341</c:v>
                </c:pt>
                <c:pt idx="9">
                  <c:v>24.667144368239672</c:v>
                </c:pt>
                <c:pt idx="10">
                  <c:v>24.426928720101003</c:v>
                </c:pt>
                <c:pt idx="11">
                  <c:v>24.186713071962334</c:v>
                </c:pt>
                <c:pt idx="12">
                  <c:v>23.946497423823665</c:v>
                </c:pt>
              </c:numCache>
            </c:numRef>
          </c:val>
          <c:smooth val="0"/>
          <c:extLst>
            <c:ext xmlns:c16="http://schemas.microsoft.com/office/drawing/2014/chart" uri="{C3380CC4-5D6E-409C-BE32-E72D297353CC}">
              <c16:uniqueId val="{00000000-7E14-40BE-B88D-664DD87A2598}"/>
            </c:ext>
          </c:extLst>
        </c:ser>
        <c:dLbls>
          <c:showLegendKey val="0"/>
          <c:showVal val="0"/>
          <c:showCatName val="0"/>
          <c:showSerName val="0"/>
          <c:showPercent val="0"/>
          <c:showBubbleSize val="0"/>
        </c:dLbls>
        <c:smooth val="0"/>
        <c:axId val="434610528"/>
        <c:axId val="434606920"/>
      </c:lineChart>
      <c:catAx>
        <c:axId val="43461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crossAx val="434606920"/>
        <c:crosses val="autoZero"/>
        <c:auto val="1"/>
        <c:lblAlgn val="ctr"/>
        <c:lblOffset val="100"/>
        <c:noMultiLvlLbl val="0"/>
      </c:catAx>
      <c:valAx>
        <c:axId val="434606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nl-BE"/>
                  <a:t>[EUR22/MWh]</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crossAx val="434610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sz="1600"/>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Wind onshore (installed capacity</a:t>
            </a:r>
            <a:r>
              <a:rPr lang="en-US" sz="1800" b="1" baseline="0"/>
              <a:t> [MW])</a:t>
            </a:r>
            <a:endParaRPr lang="en-US" sz="1800" b="1"/>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6.9463866795353199E-2"/>
          <c:y val="0.12029496761415621"/>
          <c:w val="0.73062991803247868"/>
          <c:h val="0.72320995679733446"/>
        </c:manualLayout>
      </c:layout>
      <c:lineChart>
        <c:grouping val="standard"/>
        <c:varyColors val="0"/>
        <c:ser>
          <c:idx val="0"/>
          <c:order val="0"/>
          <c:tx>
            <c:strRef>
              <c:f>'1.2. Renewable and non-CIPU'!$R$90:$S$90</c:f>
              <c:strCache>
                <c:ptCount val="2"/>
                <c:pt idx="0">
                  <c:v>Historic (IEA)</c:v>
                </c:pt>
              </c:strCache>
            </c:strRef>
          </c:tx>
          <c:spPr>
            <a:ln w="38100" cap="rnd">
              <a:solidFill>
                <a:schemeClr val="tx1">
                  <a:lumMod val="50000"/>
                  <a:lumOff val="50000"/>
                </a:schemeClr>
              </a:solidFill>
              <a:round/>
            </a:ln>
            <a:effectLst/>
          </c:spPr>
          <c:marker>
            <c:symbol val="none"/>
          </c:marker>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non-CIPU'!$T$90:$AR$90</c:f>
              <c:numCache>
                <c:formatCode>General</c:formatCode>
                <c:ptCount val="25"/>
                <c:pt idx="0">
                  <c:v>716</c:v>
                </c:pt>
                <c:pt idx="1">
                  <c:v>873</c:v>
                </c:pt>
                <c:pt idx="2">
                  <c:v>989</c:v>
                </c:pt>
                <c:pt idx="3">
                  <c:v>1072</c:v>
                </c:pt>
                <c:pt idx="4">
                  <c:v>1236</c:v>
                </c:pt>
                <c:pt idx="5">
                  <c:v>1464</c:v>
                </c:pt>
                <c:pt idx="6">
                  <c:v>1658</c:v>
                </c:pt>
                <c:pt idx="7">
                  <c:v>1915</c:v>
                </c:pt>
                <c:pt idx="8">
                  <c:v>2130</c:v>
                </c:pt>
                <c:pt idx="9">
                  <c:v>2320</c:v>
                </c:pt>
                <c:pt idx="10">
                  <c:v>2471</c:v>
                </c:pt>
                <c:pt idx="11">
                  <c:v>2726</c:v>
                </c:pt>
              </c:numCache>
            </c:numRef>
          </c:val>
          <c:smooth val="0"/>
          <c:extLst>
            <c:ext xmlns:c16="http://schemas.microsoft.com/office/drawing/2014/chart" uri="{C3380CC4-5D6E-409C-BE32-E72D297353CC}">
              <c16:uniqueId val="{00000000-93C7-43AF-83B2-B5EAA9CCB540}"/>
            </c:ext>
          </c:extLst>
        </c:ser>
        <c:ser>
          <c:idx val="2"/>
          <c:order val="1"/>
          <c:tx>
            <c:strRef>
              <c:f>'1.2. Renewable and non-CIPU'!$R$92:$S$92</c:f>
              <c:strCache>
                <c:ptCount val="2"/>
                <c:pt idx="0">
                  <c:v>AdFlex21</c:v>
                </c:pt>
              </c:strCache>
            </c:strRef>
          </c:tx>
          <c:spPr>
            <a:ln w="57150" cap="rnd">
              <a:solidFill>
                <a:schemeClr val="bg1">
                  <a:lumMod val="50000"/>
                </a:schemeClr>
              </a:solidFill>
              <a:prstDash val="sysDot"/>
              <a:round/>
            </a:ln>
            <a:effectLst/>
          </c:spPr>
          <c:marker>
            <c:symbol val="none"/>
          </c:marker>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non-CIPU'!$T$92:$AR$92</c:f>
              <c:numCache>
                <c:formatCode>General</c:formatCode>
                <c:ptCount val="25"/>
                <c:pt idx="12" formatCode="0">
                  <c:v>2981.42</c:v>
                </c:pt>
                <c:pt idx="13" formatCode="0">
                  <c:v>3236.63</c:v>
                </c:pt>
                <c:pt idx="14" formatCode="0">
                  <c:v>3491.84</c:v>
                </c:pt>
                <c:pt idx="15" formatCode="0">
                  <c:v>3747</c:v>
                </c:pt>
                <c:pt idx="16" formatCode="0">
                  <c:v>3978</c:v>
                </c:pt>
                <c:pt idx="17" formatCode="0">
                  <c:v>4208</c:v>
                </c:pt>
                <c:pt idx="18" formatCode="0">
                  <c:v>4439</c:v>
                </c:pt>
                <c:pt idx="19" formatCode="0">
                  <c:v>4669</c:v>
                </c:pt>
                <c:pt idx="20">
                  <c:v>4900</c:v>
                </c:pt>
                <c:pt idx="21" formatCode="0">
                  <c:v>5131</c:v>
                </c:pt>
                <c:pt idx="22" formatCode="0">
                  <c:v>5362</c:v>
                </c:pt>
              </c:numCache>
            </c:numRef>
          </c:val>
          <c:smooth val="0"/>
          <c:extLst>
            <c:ext xmlns:c16="http://schemas.microsoft.com/office/drawing/2014/chart" uri="{C3380CC4-5D6E-409C-BE32-E72D297353CC}">
              <c16:uniqueId val="{00000001-93C7-43AF-83B2-B5EAA9CCB540}"/>
            </c:ext>
          </c:extLst>
        </c:ser>
        <c:ser>
          <c:idx val="5"/>
          <c:order val="2"/>
          <c:tx>
            <c:strRef>
              <c:f>'1.2. Renewable and non-CIPU'!$R$94:$S$94</c:f>
              <c:strCache>
                <c:ptCount val="2"/>
                <c:pt idx="0">
                  <c:v>AdFlex23</c:v>
                </c:pt>
              </c:strCache>
            </c:strRef>
          </c:tx>
          <c:spPr>
            <a:ln w="38100" cap="rnd">
              <a:solidFill>
                <a:schemeClr val="accent5">
                  <a:lumMod val="75000"/>
                </a:schemeClr>
              </a:solidFill>
              <a:round/>
            </a:ln>
            <a:effectLst/>
          </c:spPr>
          <c:marker>
            <c:symbol val="circle"/>
            <c:size val="5"/>
            <c:spPr>
              <a:solidFill>
                <a:schemeClr val="accent5">
                  <a:lumMod val="75000"/>
                </a:schemeClr>
              </a:solidFill>
              <a:ln w="38100">
                <a:solidFill>
                  <a:schemeClr val="accent5">
                    <a:lumMod val="75000"/>
                  </a:schemeClr>
                </a:solidFill>
              </a:ln>
              <a:effectLst/>
            </c:spPr>
          </c:marker>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non-CIPU'!$T$94:$AR$94</c:f>
              <c:numCache>
                <c:formatCode>General</c:formatCode>
                <c:ptCount val="25"/>
                <c:pt idx="11">
                  <c:v>2726</c:v>
                </c:pt>
                <c:pt idx="12">
                  <c:v>3012</c:v>
                </c:pt>
                <c:pt idx="13">
                  <c:v>3298</c:v>
                </c:pt>
                <c:pt idx="14">
                  <c:v>3584</c:v>
                </c:pt>
                <c:pt idx="15">
                  <c:v>3870</c:v>
                </c:pt>
                <c:pt idx="16">
                  <c:v>4156</c:v>
                </c:pt>
                <c:pt idx="17">
                  <c:v>4442</c:v>
                </c:pt>
                <c:pt idx="18">
                  <c:v>4728</c:v>
                </c:pt>
                <c:pt idx="19">
                  <c:v>5014</c:v>
                </c:pt>
                <c:pt idx="20">
                  <c:v>5300</c:v>
                </c:pt>
                <c:pt idx="21">
                  <c:v>5586</c:v>
                </c:pt>
                <c:pt idx="22">
                  <c:v>5872</c:v>
                </c:pt>
                <c:pt idx="23">
                  <c:v>6158</c:v>
                </c:pt>
                <c:pt idx="24">
                  <c:v>6444</c:v>
                </c:pt>
              </c:numCache>
            </c:numRef>
          </c:val>
          <c:smooth val="0"/>
          <c:extLst>
            <c:ext xmlns:c16="http://schemas.microsoft.com/office/drawing/2014/chart" uri="{C3380CC4-5D6E-409C-BE32-E72D297353CC}">
              <c16:uniqueId val="{00000002-93C7-43AF-83B2-B5EAA9CCB540}"/>
            </c:ext>
          </c:extLst>
        </c:ser>
        <c:ser>
          <c:idx val="1"/>
          <c:order val="3"/>
          <c:tx>
            <c:strRef>
              <c:f>'1.2. Renewable and non-CIPU'!$R$91:$S$91</c:f>
              <c:strCache>
                <c:ptCount val="2"/>
                <c:pt idx="0">
                  <c:v>NECP2019_WAM</c:v>
                </c:pt>
              </c:strCache>
            </c:strRef>
          </c:tx>
          <c:spPr>
            <a:ln w="28575" cap="rnd">
              <a:noFill/>
              <a:round/>
            </a:ln>
            <a:effectLst/>
          </c:spPr>
          <c:marker>
            <c:symbol val="diamond"/>
            <c:size val="10"/>
            <c:spPr>
              <a:solidFill>
                <a:schemeClr val="tx1"/>
              </a:solidFill>
              <a:ln w="9525">
                <a:noFill/>
              </a:ln>
              <a:effectLst/>
            </c:spPr>
          </c:marker>
          <c:dLbls>
            <c:dLbl>
              <c:idx val="20"/>
              <c:layout>
                <c:manualLayout>
                  <c:x val="1.4558372947068726E-2"/>
                  <c:y val="5.63101532607588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C7-43AF-83B2-B5EAA9CCB540}"/>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non-CIPU'!$T$91:$AR$91</c:f>
              <c:numCache>
                <c:formatCode>General</c:formatCode>
                <c:ptCount val="25"/>
                <c:pt idx="15">
                  <c:v>3747</c:v>
                </c:pt>
                <c:pt idx="20">
                  <c:v>4900</c:v>
                </c:pt>
              </c:numCache>
            </c:numRef>
          </c:val>
          <c:smooth val="0"/>
          <c:extLst>
            <c:ext xmlns:c16="http://schemas.microsoft.com/office/drawing/2014/chart" uri="{C3380CC4-5D6E-409C-BE32-E72D297353CC}">
              <c16:uniqueId val="{00000004-93C7-43AF-83B2-B5EAA9CCB540}"/>
            </c:ext>
          </c:extLst>
        </c:ser>
        <c:ser>
          <c:idx val="3"/>
          <c:order val="4"/>
          <c:tx>
            <c:strRef>
              <c:f>'1.2. Renewable and non-CIPU'!$R$93:$S$93</c:f>
              <c:strCache>
                <c:ptCount val="2"/>
                <c:pt idx="0">
                  <c:v>FF55_EUMIX</c:v>
                </c:pt>
              </c:strCache>
            </c:strRef>
          </c:tx>
          <c:spPr>
            <a:ln w="28575" cap="rnd">
              <a:noFill/>
              <a:round/>
            </a:ln>
            <a:effectLst/>
          </c:spPr>
          <c:marker>
            <c:symbol val="diamond"/>
            <c:size val="9"/>
            <c:spPr>
              <a:solidFill>
                <a:srgbClr val="00B050"/>
              </a:solidFill>
              <a:ln w="9525">
                <a:noFill/>
              </a:ln>
              <a:effectLst/>
            </c:spPr>
          </c:marker>
          <c:dLbls>
            <c:dLbl>
              <c:idx val="20"/>
              <c:layout>
                <c:manualLayout>
                  <c:x val="2.3540586990425952E-2"/>
                  <c:y val="-0.10460870105132863"/>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rgbClr val="00B050"/>
                      </a:solidFill>
                      <a:latin typeface="+mn-lt"/>
                      <a:ea typeface="+mn-ea"/>
                      <a:cs typeface="+mn-cs"/>
                    </a:defRPr>
                  </a:pPr>
                  <a:endParaRPr lang="nl-B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C7-43AF-83B2-B5EAA9CCB5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50"/>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non-CIPU'!$T$93:$AR$93</c:f>
              <c:numCache>
                <c:formatCode>General</c:formatCode>
                <c:ptCount val="25"/>
                <c:pt idx="20">
                  <c:v>5300</c:v>
                </c:pt>
              </c:numCache>
            </c:numRef>
          </c:val>
          <c:smooth val="0"/>
          <c:extLst>
            <c:ext xmlns:c16="http://schemas.microsoft.com/office/drawing/2014/chart" uri="{C3380CC4-5D6E-409C-BE32-E72D297353CC}">
              <c16:uniqueId val="{00000006-93C7-43AF-83B2-B5EAA9CCB540}"/>
            </c:ext>
          </c:extLst>
        </c:ser>
        <c:dLbls>
          <c:showLegendKey val="0"/>
          <c:showVal val="0"/>
          <c:showCatName val="0"/>
          <c:showSerName val="0"/>
          <c:showPercent val="0"/>
          <c:showBubbleSize val="0"/>
        </c:dLbls>
        <c:smooth val="0"/>
        <c:axId val="728247080"/>
        <c:axId val="728250032"/>
        <c:extLst>
          <c:ext xmlns:c15="http://schemas.microsoft.com/office/drawing/2012/chart" uri="{02D57815-91ED-43cb-92C2-25804820EDAC}">
            <c15:filteredLineSeries>
              <c15:ser>
                <c:idx val="7"/>
                <c:order val="5"/>
                <c:tx>
                  <c:strRef>
                    <c:extLst>
                      <c:ext uri="{02D57815-91ED-43cb-92C2-25804820EDAC}">
                        <c15:formulaRef>
                          <c15:sqref>'1.2. Renewable and non-CIPU'!$R$66:$S$66</c15:sqref>
                        </c15:formulaRef>
                      </c:ext>
                    </c:extLst>
                    <c:strCache>
                      <c:ptCount val="2"/>
                      <c:pt idx="0">
                        <c:v>AdFlex23</c:v>
                      </c:pt>
                    </c:strCache>
                  </c:strRef>
                </c:tx>
                <c:spPr>
                  <a:ln w="28575" cap="rnd">
                    <a:noFill/>
                    <a:round/>
                  </a:ln>
                  <a:effectLst/>
                </c:spPr>
                <c:marker>
                  <c:symbol val="diamond"/>
                  <c:size val="9"/>
                  <c:spPr>
                    <a:solidFill>
                      <a:schemeClr val="accent4">
                        <a:lumMod val="50000"/>
                      </a:schemeClr>
                    </a:solidFill>
                    <a:ln w="9525">
                      <a:noFill/>
                    </a:ln>
                    <a:effectLst/>
                  </c:spPr>
                </c:marker>
                <c:cat>
                  <c:numRef>
                    <c:extLst>
                      <c:ex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c:ext uri="{02D57815-91ED-43cb-92C2-25804820EDAC}">
                        <c15:formulaRef>
                          <c15:sqref>'1.2. Renewable and non-CIPU'!$T$66:$AR$66</c15:sqref>
                        </c15:formulaRef>
                      </c:ext>
                    </c:extLst>
                    <c:numCache>
                      <c:formatCode>General</c:formatCode>
                      <c:ptCount val="25"/>
                    </c:numCache>
                  </c:numRef>
                </c:val>
                <c:smooth val="0"/>
                <c:extLst>
                  <c:ext xmlns:c16="http://schemas.microsoft.com/office/drawing/2014/chart" uri="{C3380CC4-5D6E-409C-BE32-E72D297353CC}">
                    <c16:uniqueId val="{00000007-93C7-43AF-83B2-B5EAA9CCB540}"/>
                  </c:ext>
                </c:extLst>
              </c15:ser>
            </c15:filteredLineSeries>
            <c15:filteredLineSeries>
              <c15:ser>
                <c:idx val="4"/>
                <c:order val="6"/>
                <c:tx>
                  <c:strRef>
                    <c:extLst xmlns:c15="http://schemas.microsoft.com/office/drawing/2012/chart">
                      <c:ext xmlns:c15="http://schemas.microsoft.com/office/drawing/2012/chart" uri="{02D57815-91ED-43cb-92C2-25804820EDAC}">
                        <c15:formulaRef>
                          <c15:sqref>'1.2. Renewable and non-CIPU'!#REF!</c15:sqref>
                        </c15:formulaRef>
                      </c:ext>
                    </c:extLst>
                    <c:strCache>
                      <c:ptCount val="1"/>
                      <c:pt idx="0">
                        <c:v>#REF!</c:v>
                      </c:pt>
                    </c:strCache>
                  </c:strRef>
                </c:tx>
                <c:spPr>
                  <a:ln w="28575" cap="rnd">
                    <a:noFill/>
                    <a:round/>
                  </a:ln>
                  <a:effectLst/>
                </c:spPr>
                <c:marker>
                  <c:symbol val="diamond"/>
                  <c:size val="9"/>
                  <c:spPr>
                    <a:solidFill>
                      <a:schemeClr val="accent5"/>
                    </a:solidFill>
                    <a:ln w="9525">
                      <a:noFill/>
                    </a:ln>
                    <a:effectLst/>
                  </c:spPr>
                </c:marker>
                <c:dLbls>
                  <c:dLbl>
                    <c:idx val="20"/>
                    <c:layout>
                      <c:manualLayout>
                        <c:x val="1.4558372947068807E-2"/>
                        <c:y val="-0.11262030652151787"/>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rgbClr val="00B0F0"/>
                            </a:solidFill>
                            <a:latin typeface="+mn-lt"/>
                            <a:ea typeface="+mn-ea"/>
                            <a:cs typeface="+mn-cs"/>
                          </a:defRPr>
                        </a:pPr>
                        <a:endParaRPr lang="nl-BE"/>
                      </a:p>
                    </c:txP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8-93C7-43AF-83B2-B5EAA9CCB540}"/>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xmlns:c15="http://schemas.microsoft.com/office/drawing/2012/chart">
                      <c:ext xmlns:c15="http://schemas.microsoft.com/office/drawing/2012/chart" uri="{02D57815-91ED-43cb-92C2-25804820EDAC}">
                        <c15:formulaRef>
                          <c15:sqref>'1.2. Renewable and non-CIPU'!#REF!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9-93C7-43AF-83B2-B5EAA9CCB540}"/>
                  </c:ext>
                </c:extLst>
              </c15:ser>
            </c15:filteredLineSeries>
            <c15:filteredLineSeries>
              <c15:ser>
                <c:idx val="8"/>
                <c:order val="7"/>
                <c:tx>
                  <c:strRef>
                    <c:extLst xmlns:c15="http://schemas.microsoft.com/office/drawing/2012/chart">
                      <c:ext xmlns:c15="http://schemas.microsoft.com/office/drawing/2012/chart" uri="{02D57815-91ED-43cb-92C2-25804820EDAC}">
                        <c15:formulaRef>
                          <c15:sqref>'1.2. Renewable and non-CIPU'!$R$67:$S$67</c15:sqref>
                        </c15:formulaRef>
                      </c:ext>
                    </c:extLst>
                    <c:strCache>
                      <c:ptCount val="2"/>
                      <c:pt idx="0">
                        <c:v>AdFlex23</c:v>
                      </c:pt>
                    </c:strCache>
                  </c:strRef>
                </c:tx>
                <c:spPr>
                  <a:ln w="28575" cap="rnd">
                    <a:noFill/>
                    <a:round/>
                  </a:ln>
                  <a:effectLst/>
                </c:spPr>
                <c:marker>
                  <c:symbol val="diamond"/>
                  <c:size val="9"/>
                  <c:spPr>
                    <a:solidFill>
                      <a:schemeClr val="accent3">
                        <a:lumMod val="60000"/>
                      </a:schemeClr>
                    </a:solidFill>
                    <a:ln w="9525">
                      <a:noFill/>
                    </a:ln>
                    <a:effectLst/>
                  </c:spPr>
                </c:marker>
                <c:cat>
                  <c:numRef>
                    <c:extLst xmlns:c15="http://schemas.microsoft.com/office/drawing/2012/chart">
                      <c:ext xmlns:c15="http://schemas.microsoft.com/office/drawing/2012/char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xmlns:c15="http://schemas.microsoft.com/office/drawing/2012/chart">
                      <c:ext xmlns:c15="http://schemas.microsoft.com/office/drawing/2012/chart" uri="{02D57815-91ED-43cb-92C2-25804820EDAC}">
                        <c15:formulaRef>
                          <c15:sqref>'1.2. Renewable and non-CIPU'!$T$67:$AR$67</c15:sqref>
                        </c15:formulaRef>
                      </c:ext>
                    </c:extLst>
                    <c:numCache>
                      <c:formatCode>General</c:formatCode>
                      <c:ptCount val="25"/>
                    </c:numCache>
                  </c:numRef>
                </c:val>
                <c:smooth val="0"/>
                <c:extLst xmlns:c15="http://schemas.microsoft.com/office/drawing/2012/chart">
                  <c:ext xmlns:c16="http://schemas.microsoft.com/office/drawing/2014/chart" uri="{C3380CC4-5D6E-409C-BE32-E72D297353CC}">
                    <c16:uniqueId val="{0000000A-93C7-43AF-83B2-B5EAA9CCB540}"/>
                  </c:ext>
                </c:extLst>
              </c15:ser>
            </c15:filteredLineSeries>
          </c:ext>
        </c:extLst>
      </c:lineChart>
      <c:catAx>
        <c:axId val="728247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12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crossAx val="728250032"/>
        <c:crosses val="autoZero"/>
        <c:auto val="1"/>
        <c:lblAlgn val="ctr"/>
        <c:lblOffset val="100"/>
        <c:noMultiLvlLbl val="0"/>
      </c:catAx>
      <c:valAx>
        <c:axId val="728250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crossAx val="728247080"/>
        <c:crosses val="autoZero"/>
        <c:crossBetween val="between"/>
      </c:valAx>
      <c:spPr>
        <a:noFill/>
        <a:ln>
          <a:noFill/>
        </a:ln>
        <a:effectLst/>
      </c:spPr>
    </c:plotArea>
    <c:legend>
      <c:legendPos val="r"/>
      <c:layout>
        <c:manualLayout>
          <c:xMode val="edge"/>
          <c:yMode val="edge"/>
          <c:x val="0.82088462727302125"/>
          <c:y val="0.23964702910405555"/>
          <c:w val="0.16835827357836186"/>
          <c:h val="0.4542572206174388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Wind offshore (installed capacity</a:t>
            </a:r>
            <a:r>
              <a:rPr lang="en-US" sz="1800" b="1" baseline="0"/>
              <a:t> [MW])</a:t>
            </a:r>
            <a:endParaRPr lang="en-US" sz="1800" b="1"/>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6.9463866795353199E-2"/>
          <c:y val="0.12029496761415621"/>
          <c:w val="0.73062991803247868"/>
          <c:h val="0.72320995679733446"/>
        </c:manualLayout>
      </c:layout>
      <c:lineChart>
        <c:grouping val="standard"/>
        <c:varyColors val="0"/>
        <c:ser>
          <c:idx val="0"/>
          <c:order val="0"/>
          <c:tx>
            <c:strRef>
              <c:f>'1.2. Renewable and non-CIPU'!$R$121:$S$121</c:f>
              <c:strCache>
                <c:ptCount val="2"/>
                <c:pt idx="0">
                  <c:v>Historic (IEA)</c:v>
                </c:pt>
              </c:strCache>
            </c:strRef>
          </c:tx>
          <c:spPr>
            <a:ln w="38100" cap="rnd">
              <a:solidFill>
                <a:schemeClr val="tx1">
                  <a:lumMod val="50000"/>
                  <a:lumOff val="50000"/>
                </a:schemeClr>
              </a:solidFill>
              <a:round/>
            </a:ln>
            <a:effectLst/>
          </c:spPr>
          <c:marker>
            <c:symbol val="none"/>
          </c:marker>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non-CIPU'!$T$121:$AR$121</c:f>
              <c:numCache>
                <c:formatCode>General</c:formatCode>
                <c:ptCount val="25"/>
                <c:pt idx="0">
                  <c:v>200</c:v>
                </c:pt>
                <c:pt idx="1">
                  <c:v>200</c:v>
                </c:pt>
                <c:pt idx="2">
                  <c:v>400</c:v>
                </c:pt>
                <c:pt idx="3">
                  <c:v>400</c:v>
                </c:pt>
                <c:pt idx="4">
                  <c:v>700</c:v>
                </c:pt>
                <c:pt idx="5">
                  <c:v>700</c:v>
                </c:pt>
                <c:pt idx="6">
                  <c:v>700</c:v>
                </c:pt>
                <c:pt idx="7">
                  <c:v>900</c:v>
                </c:pt>
                <c:pt idx="8">
                  <c:v>1100</c:v>
                </c:pt>
                <c:pt idx="9">
                  <c:v>1570</c:v>
                </c:pt>
                <c:pt idx="10">
                  <c:v>2260</c:v>
                </c:pt>
                <c:pt idx="11">
                  <c:v>2260</c:v>
                </c:pt>
              </c:numCache>
            </c:numRef>
          </c:val>
          <c:smooth val="0"/>
          <c:extLst>
            <c:ext xmlns:c16="http://schemas.microsoft.com/office/drawing/2014/chart" uri="{C3380CC4-5D6E-409C-BE32-E72D297353CC}">
              <c16:uniqueId val="{00000000-2F47-4555-A96A-5FA193FAF1EA}"/>
            </c:ext>
          </c:extLst>
        </c:ser>
        <c:ser>
          <c:idx val="2"/>
          <c:order val="1"/>
          <c:tx>
            <c:strRef>
              <c:f>'1.2. Renewable and non-CIPU'!$R$123:$S$123</c:f>
              <c:strCache>
                <c:ptCount val="2"/>
                <c:pt idx="0">
                  <c:v>AdFlex21</c:v>
                </c:pt>
              </c:strCache>
            </c:strRef>
          </c:tx>
          <c:spPr>
            <a:ln w="57150" cap="rnd">
              <a:solidFill>
                <a:schemeClr val="bg1">
                  <a:lumMod val="50000"/>
                </a:schemeClr>
              </a:solidFill>
              <a:prstDash val="sysDot"/>
              <a:round/>
            </a:ln>
            <a:effectLst/>
          </c:spPr>
          <c:marker>
            <c:symbol val="none"/>
          </c:marker>
          <c:dLbls>
            <c:dLbl>
              <c:idx val="18"/>
              <c:layout>
                <c:manualLayout>
                  <c:x val="-2.2493808918495506E-2"/>
                  <c:y val="-3.8164863252037544E-2"/>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47-4555-A96A-5FA193FAF1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non-CIPU'!$T$123:$AR$123</c:f>
              <c:numCache>
                <c:formatCode>General</c:formatCode>
                <c:ptCount val="25"/>
                <c:pt idx="12">
                  <c:v>2253</c:v>
                </c:pt>
                <c:pt idx="13">
                  <c:v>2253</c:v>
                </c:pt>
                <c:pt idx="14">
                  <c:v>2253</c:v>
                </c:pt>
                <c:pt idx="15">
                  <c:v>2253</c:v>
                </c:pt>
                <c:pt idx="16">
                  <c:v>2953</c:v>
                </c:pt>
                <c:pt idx="17">
                  <c:v>2953</c:v>
                </c:pt>
                <c:pt idx="18">
                  <c:v>4000</c:v>
                </c:pt>
                <c:pt idx="19">
                  <c:v>4000</c:v>
                </c:pt>
                <c:pt idx="20">
                  <c:v>4000</c:v>
                </c:pt>
                <c:pt idx="21">
                  <c:v>4000</c:v>
                </c:pt>
                <c:pt idx="22">
                  <c:v>4000</c:v>
                </c:pt>
              </c:numCache>
            </c:numRef>
          </c:val>
          <c:smooth val="0"/>
          <c:extLst>
            <c:ext xmlns:c16="http://schemas.microsoft.com/office/drawing/2014/chart" uri="{C3380CC4-5D6E-409C-BE32-E72D297353CC}">
              <c16:uniqueId val="{00000002-2F47-4555-A96A-5FA193FAF1EA}"/>
            </c:ext>
          </c:extLst>
        </c:ser>
        <c:ser>
          <c:idx val="5"/>
          <c:order val="2"/>
          <c:tx>
            <c:strRef>
              <c:f>'1.2. Renewable and non-CIPU'!$R$124:$S$124</c:f>
              <c:strCache>
                <c:ptCount val="2"/>
                <c:pt idx="0">
                  <c:v>AdFlex23</c:v>
                </c:pt>
              </c:strCache>
            </c:strRef>
          </c:tx>
          <c:spPr>
            <a:ln w="38100" cap="rnd">
              <a:solidFill>
                <a:schemeClr val="accent5"/>
              </a:solidFill>
              <a:round/>
            </a:ln>
            <a:effectLst/>
          </c:spPr>
          <c:marker>
            <c:symbol val="circle"/>
            <c:size val="5"/>
            <c:spPr>
              <a:solidFill>
                <a:schemeClr val="accent5"/>
              </a:solidFill>
              <a:ln w="38100">
                <a:solidFill>
                  <a:schemeClr val="accent5"/>
                </a:solidFill>
              </a:ln>
              <a:effectLst/>
            </c:spPr>
          </c:marker>
          <c:dLbls>
            <c:dLbl>
              <c:idx val="11"/>
              <c:layout>
                <c:manualLayout>
                  <c:x val="-2.239401369197544E-2"/>
                  <c:y val="-4.83526877854058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47-4555-A96A-5FA193FAF1EA}"/>
                </c:ext>
              </c:extLst>
            </c:dLbl>
            <c:dLbl>
              <c:idx val="19"/>
              <c:layout>
                <c:manualLayout>
                  <c:x val="7.8826808722594743E-3"/>
                  <c:y val="-1.2703428420765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47-4555-A96A-5FA193FAF1EA}"/>
                </c:ext>
              </c:extLst>
            </c:dLbl>
            <c:dLbl>
              <c:idx val="20"/>
              <c:layout>
                <c:manualLayout>
                  <c:x val="-8.9061090315559303E-3"/>
                  <c:y val="-4.83472701173065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47-4555-A96A-5FA193FAF1EA}"/>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accent5"/>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'1.2. Renewable and non-CIPU'!$T$58:$AR$58</c:f>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f>'1.2. Renewable and non-CIPU'!$T$124:$AR$124</c:f>
              <c:numCache>
                <c:formatCode>General</c:formatCode>
                <c:ptCount val="25"/>
                <c:pt idx="11">
                  <c:v>2260</c:v>
                </c:pt>
                <c:pt idx="12">
                  <c:v>2260</c:v>
                </c:pt>
                <c:pt idx="13">
                  <c:v>2260</c:v>
                </c:pt>
                <c:pt idx="14">
                  <c:v>2260</c:v>
                </c:pt>
                <c:pt idx="15">
                  <c:v>2260</c:v>
                </c:pt>
                <c:pt idx="16">
                  <c:v>2260</c:v>
                </c:pt>
                <c:pt idx="17">
                  <c:v>2260</c:v>
                </c:pt>
                <c:pt idx="18">
                  <c:v>2960</c:v>
                </c:pt>
                <c:pt idx="19">
                  <c:v>2960</c:v>
                </c:pt>
                <c:pt idx="20">
                  <c:v>5760</c:v>
                </c:pt>
                <c:pt idx="21">
                  <c:v>5760</c:v>
                </c:pt>
                <c:pt idx="22">
                  <c:v>5760</c:v>
                </c:pt>
                <c:pt idx="23">
                  <c:v>5760</c:v>
                </c:pt>
                <c:pt idx="24">
                  <c:v>5760</c:v>
                </c:pt>
              </c:numCache>
            </c:numRef>
          </c:val>
          <c:smooth val="0"/>
          <c:extLst>
            <c:ext xmlns:c16="http://schemas.microsoft.com/office/drawing/2014/chart" uri="{C3380CC4-5D6E-409C-BE32-E72D297353CC}">
              <c16:uniqueId val="{00000006-2F47-4555-A96A-5FA193FAF1EA}"/>
            </c:ext>
          </c:extLst>
        </c:ser>
        <c:dLbls>
          <c:showLegendKey val="0"/>
          <c:showVal val="0"/>
          <c:showCatName val="0"/>
          <c:showSerName val="0"/>
          <c:showPercent val="0"/>
          <c:showBubbleSize val="0"/>
        </c:dLbls>
        <c:smooth val="0"/>
        <c:axId val="728247080"/>
        <c:axId val="728250032"/>
        <c:extLst>
          <c:ext xmlns:c15="http://schemas.microsoft.com/office/drawing/2012/chart" uri="{02D57815-91ED-43cb-92C2-25804820EDAC}">
            <c15:filteredLineSeries>
              <c15:ser>
                <c:idx val="1"/>
                <c:order val="3"/>
                <c:tx>
                  <c:strRef>
                    <c:extLst>
                      <c:ext uri="{02D57815-91ED-43cb-92C2-25804820EDAC}">
                        <c15:formulaRef>
                          <c15:sqref>'1.2. Renewable and non-CIPU'!$R$91:$S$91</c15:sqref>
                        </c15:formulaRef>
                      </c:ext>
                    </c:extLst>
                    <c:strCache>
                      <c:ptCount val="2"/>
                      <c:pt idx="0">
                        <c:v>NECP2019_WAM</c:v>
                      </c:pt>
                    </c:strCache>
                  </c:strRef>
                </c:tx>
                <c:spPr>
                  <a:ln w="28575" cap="rnd">
                    <a:noFill/>
                    <a:round/>
                  </a:ln>
                  <a:effectLst/>
                </c:spPr>
                <c:marker>
                  <c:symbol val="diamond"/>
                  <c:size val="10"/>
                  <c:spPr>
                    <a:solidFill>
                      <a:schemeClr val="tx1"/>
                    </a:solidFill>
                    <a:ln w="9525">
                      <a:noFill/>
                    </a:ln>
                    <a:effectLst/>
                  </c:spPr>
                </c:marker>
                <c:dLbls>
                  <c:dLbl>
                    <c:idx val="20"/>
                    <c:layout>
                      <c:manualLayout>
                        <c:x val="1.4558372947068726E-2"/>
                        <c:y val="5.6310153260758847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7-2F47-4555-A96A-5FA193FAF1EA}"/>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c:ext uri="{02D57815-91ED-43cb-92C2-25804820EDAC}">
                        <c15:formulaRef>
                          <c15:sqref>'1.2. Renewable and non-CIPU'!$T$91:$AR$91</c15:sqref>
                        </c15:formulaRef>
                      </c:ext>
                    </c:extLst>
                    <c:numCache>
                      <c:formatCode>General</c:formatCode>
                      <c:ptCount val="25"/>
                      <c:pt idx="15">
                        <c:v>3747</c:v>
                      </c:pt>
                      <c:pt idx="20">
                        <c:v>4900</c:v>
                      </c:pt>
                    </c:numCache>
                  </c:numRef>
                </c:val>
                <c:smooth val="0"/>
                <c:extLst>
                  <c:ext xmlns:c16="http://schemas.microsoft.com/office/drawing/2014/chart" uri="{C3380CC4-5D6E-409C-BE32-E72D297353CC}">
                    <c16:uniqueId val="{00000008-2F47-4555-A96A-5FA193FAF1EA}"/>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'1.2. Renewable and non-CIPU'!$R$93:$S$93</c15:sqref>
                        </c15:formulaRef>
                      </c:ext>
                    </c:extLst>
                    <c:strCache>
                      <c:ptCount val="2"/>
                      <c:pt idx="0">
                        <c:v>FF55_EUMIX</c:v>
                      </c:pt>
                    </c:strCache>
                  </c:strRef>
                </c:tx>
                <c:spPr>
                  <a:ln w="28575" cap="rnd">
                    <a:noFill/>
                    <a:round/>
                  </a:ln>
                  <a:effectLst/>
                </c:spPr>
                <c:marker>
                  <c:symbol val="diamond"/>
                  <c:size val="9"/>
                  <c:spPr>
                    <a:solidFill>
                      <a:srgbClr val="00B050"/>
                    </a:solidFill>
                    <a:ln w="9525">
                      <a:noFill/>
                    </a:ln>
                    <a:effectLst/>
                  </c:spPr>
                </c:marker>
                <c:dLbls>
                  <c:dLbl>
                    <c:idx val="20"/>
                    <c:layout>
                      <c:manualLayout>
                        <c:x val="2.3540586990425952E-2"/>
                        <c:y val="-0.10460870105132863"/>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rgbClr val="00B050"/>
                            </a:solidFill>
                            <a:latin typeface="+mn-lt"/>
                            <a:ea typeface="+mn-ea"/>
                            <a:cs typeface="+mn-cs"/>
                          </a:defRPr>
                        </a:pPr>
                        <a:endParaRPr lang="nl-BE"/>
                      </a:p>
                    </c:txP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2F47-4555-A96A-5FA193FAF1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50"/>
                          </a:solidFill>
                          <a:latin typeface="+mn-lt"/>
                          <a:ea typeface="+mn-ea"/>
                          <a:cs typeface="+mn-cs"/>
                        </a:defRPr>
                      </a:pPr>
                      <a:endParaRPr lang="nl-BE"/>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xmlns:c15="http://schemas.microsoft.com/office/drawing/2012/chart">
                      <c:ext xmlns:c15="http://schemas.microsoft.com/office/drawing/2012/chart" uri="{02D57815-91ED-43cb-92C2-25804820EDAC}">
                        <c15:formulaRef>
                          <c15:sqref>'1.2. Renewable and non-CIPU'!$T$93:$AR$93</c15:sqref>
                        </c15:formulaRef>
                      </c:ext>
                    </c:extLst>
                    <c:numCache>
                      <c:formatCode>General</c:formatCode>
                      <c:ptCount val="25"/>
                      <c:pt idx="20">
                        <c:v>5300</c:v>
                      </c:pt>
                    </c:numCache>
                  </c:numRef>
                </c:val>
                <c:smooth val="0"/>
                <c:extLst xmlns:c15="http://schemas.microsoft.com/office/drawing/2012/chart">
                  <c:ext xmlns:c16="http://schemas.microsoft.com/office/drawing/2014/chart" uri="{C3380CC4-5D6E-409C-BE32-E72D297353CC}">
                    <c16:uniqueId val="{0000000A-2F47-4555-A96A-5FA193FAF1EA}"/>
                  </c:ext>
                </c:extLst>
              </c15:ser>
            </c15:filteredLineSeries>
            <c15:filteredLineSeries>
              <c15:ser>
                <c:idx val="7"/>
                <c:order val="5"/>
                <c:tx>
                  <c:strRef>
                    <c:extLst xmlns:c15="http://schemas.microsoft.com/office/drawing/2012/chart">
                      <c:ext xmlns:c15="http://schemas.microsoft.com/office/drawing/2012/chart" uri="{02D57815-91ED-43cb-92C2-25804820EDAC}">
                        <c15:formulaRef>
                          <c15:sqref>'1.2. Renewable and non-CIPU'!$R$66:$S$66</c15:sqref>
                        </c15:formulaRef>
                      </c:ext>
                    </c:extLst>
                    <c:strCache>
                      <c:ptCount val="2"/>
                      <c:pt idx="0">
                        <c:v>AdFlex23</c:v>
                      </c:pt>
                    </c:strCache>
                  </c:strRef>
                </c:tx>
                <c:spPr>
                  <a:ln w="28575" cap="rnd">
                    <a:noFill/>
                    <a:round/>
                  </a:ln>
                  <a:effectLst/>
                </c:spPr>
                <c:marker>
                  <c:symbol val="diamond"/>
                  <c:size val="9"/>
                  <c:spPr>
                    <a:solidFill>
                      <a:schemeClr val="accent4">
                        <a:lumMod val="50000"/>
                      </a:schemeClr>
                    </a:solidFill>
                    <a:ln w="9525">
                      <a:noFill/>
                    </a:ln>
                    <a:effectLst/>
                  </c:spPr>
                </c:marker>
                <c:cat>
                  <c:numRef>
                    <c:extLst xmlns:c15="http://schemas.microsoft.com/office/drawing/2012/chart">
                      <c:ext xmlns:c15="http://schemas.microsoft.com/office/drawing/2012/char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xmlns:c15="http://schemas.microsoft.com/office/drawing/2012/chart">
                      <c:ext xmlns:c15="http://schemas.microsoft.com/office/drawing/2012/chart" uri="{02D57815-91ED-43cb-92C2-25804820EDAC}">
                        <c15:formulaRef>
                          <c15:sqref>'1.2. Renewable and non-CIPU'!$T$66:$AR$66</c15:sqref>
                        </c15:formulaRef>
                      </c:ext>
                    </c:extLst>
                    <c:numCache>
                      <c:formatCode>General</c:formatCode>
                      <c:ptCount val="25"/>
                    </c:numCache>
                  </c:numRef>
                </c:val>
                <c:smooth val="0"/>
                <c:extLst xmlns:c15="http://schemas.microsoft.com/office/drawing/2012/chart">
                  <c:ext xmlns:c16="http://schemas.microsoft.com/office/drawing/2014/chart" uri="{C3380CC4-5D6E-409C-BE32-E72D297353CC}">
                    <c16:uniqueId val="{0000000B-2F47-4555-A96A-5FA193FAF1EA}"/>
                  </c:ext>
                </c:extLst>
              </c15:ser>
            </c15:filteredLineSeries>
            <c15:filteredLineSeries>
              <c15:ser>
                <c:idx val="4"/>
                <c:order val="6"/>
                <c:tx>
                  <c:strRef>
                    <c:extLst xmlns:c15="http://schemas.microsoft.com/office/drawing/2012/chart">
                      <c:ext xmlns:c15="http://schemas.microsoft.com/office/drawing/2012/chart" uri="{02D57815-91ED-43cb-92C2-25804820EDAC}">
                        <c15:formulaRef>
                          <c15:sqref>'1.2. Renewable and non-CIPU'!#REF!</c15:sqref>
                        </c15:formulaRef>
                      </c:ext>
                    </c:extLst>
                    <c:strCache>
                      <c:ptCount val="1"/>
                      <c:pt idx="0">
                        <c:v>#REF!</c:v>
                      </c:pt>
                    </c:strCache>
                  </c:strRef>
                </c:tx>
                <c:spPr>
                  <a:ln w="28575" cap="rnd">
                    <a:noFill/>
                    <a:round/>
                  </a:ln>
                  <a:effectLst/>
                </c:spPr>
                <c:marker>
                  <c:symbol val="diamond"/>
                  <c:size val="9"/>
                  <c:spPr>
                    <a:solidFill>
                      <a:schemeClr val="accent5"/>
                    </a:solidFill>
                    <a:ln w="9525">
                      <a:noFill/>
                    </a:ln>
                    <a:effectLst/>
                  </c:spPr>
                </c:marker>
                <c:dLbls>
                  <c:dLbl>
                    <c:idx val="20"/>
                    <c:layout>
                      <c:manualLayout>
                        <c:x val="1.4558372947068807E-2"/>
                        <c:y val="-0.11262030652151787"/>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rgbClr val="00B0F0"/>
                            </a:solidFill>
                            <a:latin typeface="+mn-lt"/>
                            <a:ea typeface="+mn-ea"/>
                            <a:cs typeface="+mn-cs"/>
                          </a:defRPr>
                        </a:pPr>
                        <a:endParaRPr lang="nl-BE"/>
                      </a:p>
                    </c:txP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2F47-4555-A96A-5FA193FAF1EA}"/>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xmlns:c15="http://schemas.microsoft.com/office/drawing/2012/chart">
                      <c:ext xmlns:c15="http://schemas.microsoft.com/office/drawing/2012/chart" uri="{02D57815-91ED-43cb-92C2-25804820EDAC}">
                        <c15:formulaRef>
                          <c15:sqref>'1.2. Renewable and non-CIPU'!#REF!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D-2F47-4555-A96A-5FA193FAF1EA}"/>
                  </c:ext>
                </c:extLst>
              </c15:ser>
            </c15:filteredLineSeries>
            <c15:filteredLineSeries>
              <c15:ser>
                <c:idx val="8"/>
                <c:order val="7"/>
                <c:tx>
                  <c:strRef>
                    <c:extLst xmlns:c15="http://schemas.microsoft.com/office/drawing/2012/chart">
                      <c:ext xmlns:c15="http://schemas.microsoft.com/office/drawing/2012/chart" uri="{02D57815-91ED-43cb-92C2-25804820EDAC}">
                        <c15:formulaRef>
                          <c15:sqref>'1.2. Renewable and non-CIPU'!$R$67:$S$67</c15:sqref>
                        </c15:formulaRef>
                      </c:ext>
                    </c:extLst>
                    <c:strCache>
                      <c:ptCount val="2"/>
                      <c:pt idx="0">
                        <c:v>AdFlex23</c:v>
                      </c:pt>
                    </c:strCache>
                  </c:strRef>
                </c:tx>
                <c:spPr>
                  <a:ln w="28575" cap="rnd">
                    <a:noFill/>
                    <a:round/>
                  </a:ln>
                  <a:effectLst/>
                </c:spPr>
                <c:marker>
                  <c:symbol val="diamond"/>
                  <c:size val="9"/>
                  <c:spPr>
                    <a:solidFill>
                      <a:schemeClr val="accent3">
                        <a:lumMod val="60000"/>
                      </a:schemeClr>
                    </a:solidFill>
                    <a:ln w="9525">
                      <a:noFill/>
                    </a:ln>
                    <a:effectLst/>
                  </c:spPr>
                </c:marker>
                <c:cat>
                  <c:numRef>
                    <c:extLst xmlns:c15="http://schemas.microsoft.com/office/drawing/2012/chart">
                      <c:ext xmlns:c15="http://schemas.microsoft.com/office/drawing/2012/chart" uri="{02D57815-91ED-43cb-92C2-25804820EDAC}">
                        <c15:formulaRef>
                          <c15:sqref>'1.2. Renewable and non-CIPU'!$T$58:$AR$58</c15:sqref>
                        </c15:formulaRef>
                      </c:ext>
                    </c:extLst>
                    <c:numCache>
                      <c:formatCode>General</c:formatCode>
                      <c:ptCount val="2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numCache>
                  </c:numRef>
                </c:cat>
                <c:val>
                  <c:numRef>
                    <c:extLst xmlns:c15="http://schemas.microsoft.com/office/drawing/2012/chart">
                      <c:ext xmlns:c15="http://schemas.microsoft.com/office/drawing/2012/chart" uri="{02D57815-91ED-43cb-92C2-25804820EDAC}">
                        <c15:formulaRef>
                          <c15:sqref>'1.2. Renewable and non-CIPU'!$T$67:$AR$67</c15:sqref>
                        </c15:formulaRef>
                      </c:ext>
                    </c:extLst>
                    <c:numCache>
                      <c:formatCode>General</c:formatCode>
                      <c:ptCount val="25"/>
                    </c:numCache>
                  </c:numRef>
                </c:val>
                <c:smooth val="0"/>
                <c:extLst xmlns:c15="http://schemas.microsoft.com/office/drawing/2012/chart">
                  <c:ext xmlns:c16="http://schemas.microsoft.com/office/drawing/2014/chart" uri="{C3380CC4-5D6E-409C-BE32-E72D297353CC}">
                    <c16:uniqueId val="{0000000E-2F47-4555-A96A-5FA193FAF1EA}"/>
                  </c:ext>
                </c:extLst>
              </c15:ser>
            </c15:filteredLineSeries>
          </c:ext>
        </c:extLst>
      </c:lineChart>
      <c:catAx>
        <c:axId val="728247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12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crossAx val="728250032"/>
        <c:crosses val="autoZero"/>
        <c:auto val="1"/>
        <c:lblAlgn val="ctr"/>
        <c:lblOffset val="100"/>
        <c:noMultiLvlLbl val="0"/>
      </c:catAx>
      <c:valAx>
        <c:axId val="728250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crossAx val="728247080"/>
        <c:crosses val="autoZero"/>
        <c:crossBetween val="between"/>
      </c:valAx>
      <c:spPr>
        <a:noFill/>
        <a:ln>
          <a:noFill/>
        </a:ln>
        <a:effectLst/>
      </c:spPr>
    </c:plotArea>
    <c:legend>
      <c:legendPos val="r"/>
      <c:layout>
        <c:manualLayout>
          <c:xMode val="edge"/>
          <c:yMode val="edge"/>
          <c:x val="0.81864561685094772"/>
          <c:y val="0.32110601302580727"/>
          <c:w val="0.16835827357836186"/>
          <c:h val="0.21242613026729304"/>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02640828952877"/>
          <c:y val="5.3709328022064441E-2"/>
          <c:w val="0.85546174268004294"/>
          <c:h val="0.73751984172515961"/>
        </c:manualLayout>
      </c:layout>
      <c:barChart>
        <c:barDir val="col"/>
        <c:grouping val="stacked"/>
        <c:varyColors val="0"/>
        <c:ser>
          <c:idx val="2"/>
          <c:order val="0"/>
          <c:tx>
            <c:strRef>
              <c:f>'1.2. Renewable and non-CIPU'!$C$9</c:f>
              <c:strCache>
                <c:ptCount val="1"/>
                <c:pt idx="0">
                  <c:v>Wind onshore</c:v>
                </c:pt>
              </c:strCache>
            </c:strRef>
          </c:tx>
          <c:spPr>
            <a:solidFill>
              <a:schemeClr val="accent5">
                <a:lumMod val="75000"/>
              </a:schemeClr>
            </a:solidFill>
          </c:spPr>
          <c:invertIfNegative val="0"/>
          <c:cat>
            <c:numRef>
              <c:f>'1.2. Renewable and non-CIPU'!$D$6:$Q$6</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'1.2. Renewable and non-CIPU'!$D$9:$Q$9</c:f>
              <c:numCache>
                <c:formatCode>_ * #,##0_ ;_ * \-#,##0_ ;_ * "-"??_ ;_ @_ </c:formatCode>
                <c:ptCount val="14"/>
                <c:pt idx="0">
                  <c:v>2726</c:v>
                </c:pt>
                <c:pt idx="1">
                  <c:v>3012</c:v>
                </c:pt>
                <c:pt idx="2">
                  <c:v>3298</c:v>
                </c:pt>
                <c:pt idx="3">
                  <c:v>3584</c:v>
                </c:pt>
                <c:pt idx="4">
                  <c:v>3870</c:v>
                </c:pt>
                <c:pt idx="5">
                  <c:v>4156</c:v>
                </c:pt>
                <c:pt idx="6">
                  <c:v>4442</c:v>
                </c:pt>
                <c:pt idx="7">
                  <c:v>4728</c:v>
                </c:pt>
                <c:pt idx="8">
                  <c:v>5014</c:v>
                </c:pt>
                <c:pt idx="9">
                  <c:v>5300</c:v>
                </c:pt>
                <c:pt idx="10">
                  <c:v>5586</c:v>
                </c:pt>
                <c:pt idx="11">
                  <c:v>5872</c:v>
                </c:pt>
                <c:pt idx="12">
                  <c:v>6158</c:v>
                </c:pt>
                <c:pt idx="13">
                  <c:v>6444</c:v>
                </c:pt>
              </c:numCache>
            </c:numRef>
          </c:val>
          <c:extLst>
            <c:ext xmlns:c16="http://schemas.microsoft.com/office/drawing/2014/chart" uri="{C3380CC4-5D6E-409C-BE32-E72D297353CC}">
              <c16:uniqueId val="{00000000-8A8F-4C18-9BEE-495E90A0F994}"/>
            </c:ext>
          </c:extLst>
        </c:ser>
        <c:ser>
          <c:idx val="0"/>
          <c:order val="1"/>
          <c:tx>
            <c:strRef>
              <c:f>'1.2. Renewable and non-CIPU'!$C$10</c:f>
              <c:strCache>
                <c:ptCount val="1"/>
                <c:pt idx="0">
                  <c:v>Wind offshore</c:v>
                </c:pt>
              </c:strCache>
            </c:strRef>
          </c:tx>
          <c:spPr>
            <a:solidFill>
              <a:schemeClr val="accent5"/>
            </a:solidFill>
          </c:spPr>
          <c:invertIfNegative val="0"/>
          <c:cat>
            <c:numRef>
              <c:f>'1.2. Renewable and non-CIPU'!$D$6:$Q$6</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'1.2. Renewable and non-CIPU'!$D$10:$Q$10</c:f>
              <c:numCache>
                <c:formatCode>_ * #,##0_ ;_ * \-#,##0_ ;_ * "-"??_ ;_ @_ </c:formatCode>
                <c:ptCount val="14"/>
                <c:pt idx="0">
                  <c:v>2260</c:v>
                </c:pt>
                <c:pt idx="1">
                  <c:v>2260</c:v>
                </c:pt>
                <c:pt idx="2">
                  <c:v>2260</c:v>
                </c:pt>
                <c:pt idx="3">
                  <c:v>2260</c:v>
                </c:pt>
                <c:pt idx="4">
                  <c:v>2260</c:v>
                </c:pt>
                <c:pt idx="5">
                  <c:v>2260</c:v>
                </c:pt>
                <c:pt idx="6">
                  <c:v>2260</c:v>
                </c:pt>
                <c:pt idx="7">
                  <c:v>2960</c:v>
                </c:pt>
                <c:pt idx="8">
                  <c:v>2960</c:v>
                </c:pt>
                <c:pt idx="9">
                  <c:v>5760</c:v>
                </c:pt>
                <c:pt idx="10">
                  <c:v>5760</c:v>
                </c:pt>
                <c:pt idx="11">
                  <c:v>5760</c:v>
                </c:pt>
                <c:pt idx="12">
                  <c:v>5760</c:v>
                </c:pt>
                <c:pt idx="13">
                  <c:v>5760</c:v>
                </c:pt>
              </c:numCache>
            </c:numRef>
          </c:val>
          <c:extLst>
            <c:ext xmlns:c16="http://schemas.microsoft.com/office/drawing/2014/chart" uri="{C3380CC4-5D6E-409C-BE32-E72D297353CC}">
              <c16:uniqueId val="{00000001-8A8F-4C18-9BEE-495E90A0F994}"/>
            </c:ext>
          </c:extLst>
        </c:ser>
        <c:ser>
          <c:idx val="4"/>
          <c:order val="2"/>
          <c:tx>
            <c:strRef>
              <c:f>'1.2. Renewable and non-CIPU'!$C$12</c:f>
              <c:strCache>
                <c:ptCount val="1"/>
                <c:pt idx="0">
                  <c:v>Photovoltaics</c:v>
                </c:pt>
              </c:strCache>
            </c:strRef>
          </c:tx>
          <c:spPr>
            <a:solidFill>
              <a:srgbClr val="FFC000"/>
            </a:solidFill>
          </c:spPr>
          <c:invertIfNegative val="0"/>
          <c:cat>
            <c:numRef>
              <c:f>'1.2. Renewable and non-CIPU'!$D$6:$Q$6</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'1.2. Renewable and non-CIPU'!$D$12:$Q$12</c:f>
              <c:numCache>
                <c:formatCode>_ * #,##0_ ;_ * \-#,##0_ ;_ * "-"??_ ;_ @_ </c:formatCode>
                <c:ptCount val="14"/>
                <c:pt idx="0">
                  <c:v>6300</c:v>
                </c:pt>
                <c:pt idx="1">
                  <c:v>7300</c:v>
                </c:pt>
                <c:pt idx="2">
                  <c:v>8300</c:v>
                </c:pt>
                <c:pt idx="3">
                  <c:v>9300</c:v>
                </c:pt>
                <c:pt idx="4">
                  <c:v>10100</c:v>
                </c:pt>
                <c:pt idx="5">
                  <c:v>10900</c:v>
                </c:pt>
                <c:pt idx="6">
                  <c:v>11700</c:v>
                </c:pt>
                <c:pt idx="7">
                  <c:v>12500</c:v>
                </c:pt>
                <c:pt idx="8">
                  <c:v>13300</c:v>
                </c:pt>
                <c:pt idx="9">
                  <c:v>14100</c:v>
                </c:pt>
                <c:pt idx="10">
                  <c:v>14900</c:v>
                </c:pt>
                <c:pt idx="11">
                  <c:v>15700</c:v>
                </c:pt>
                <c:pt idx="12">
                  <c:v>16500</c:v>
                </c:pt>
                <c:pt idx="13">
                  <c:v>17300</c:v>
                </c:pt>
              </c:numCache>
            </c:numRef>
          </c:val>
          <c:extLst>
            <c:ext xmlns:c16="http://schemas.microsoft.com/office/drawing/2014/chart" uri="{C3380CC4-5D6E-409C-BE32-E72D297353CC}">
              <c16:uniqueId val="{00000002-8A8F-4C18-9BEE-495E90A0F994}"/>
            </c:ext>
          </c:extLst>
        </c:ser>
        <c:ser>
          <c:idx val="6"/>
          <c:order val="3"/>
          <c:tx>
            <c:strRef>
              <c:f>'1.2. Renewable and non-CIPU'!$C$14</c:f>
              <c:strCache>
                <c:ptCount val="1"/>
                <c:pt idx="0">
                  <c:v>Hydro RoR</c:v>
                </c:pt>
              </c:strCache>
            </c:strRef>
          </c:tx>
          <c:spPr>
            <a:solidFill>
              <a:schemeClr val="tx2"/>
            </a:solidFill>
          </c:spPr>
          <c:invertIfNegative val="0"/>
          <c:cat>
            <c:numRef>
              <c:f>'1.2. Renewable and non-CIPU'!$D$6:$Q$6</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'1.2. Renewable and non-CIPU'!$D$14:$Q$14</c:f>
              <c:numCache>
                <c:formatCode>_ * #,##0_ ;_ * \-#,##0_ ;_ * "-"??_ ;_ @_ </c:formatCode>
                <c:ptCount val="14"/>
                <c:pt idx="0">
                  <c:v>121</c:v>
                </c:pt>
                <c:pt idx="1">
                  <c:v>125</c:v>
                </c:pt>
                <c:pt idx="2">
                  <c:v>129</c:v>
                </c:pt>
                <c:pt idx="3">
                  <c:v>133</c:v>
                </c:pt>
                <c:pt idx="4">
                  <c:v>137</c:v>
                </c:pt>
                <c:pt idx="5">
                  <c:v>140</c:v>
                </c:pt>
                <c:pt idx="6">
                  <c:v>143</c:v>
                </c:pt>
                <c:pt idx="7">
                  <c:v>145</c:v>
                </c:pt>
                <c:pt idx="8">
                  <c:v>148</c:v>
                </c:pt>
                <c:pt idx="9">
                  <c:v>151</c:v>
                </c:pt>
                <c:pt idx="10">
                  <c:v>154</c:v>
                </c:pt>
                <c:pt idx="11">
                  <c:v>157</c:v>
                </c:pt>
                <c:pt idx="12">
                  <c:v>160</c:v>
                </c:pt>
                <c:pt idx="13">
                  <c:v>163</c:v>
                </c:pt>
              </c:numCache>
            </c:numRef>
          </c:val>
          <c:extLst>
            <c:ext xmlns:c16="http://schemas.microsoft.com/office/drawing/2014/chart" uri="{C3380CC4-5D6E-409C-BE32-E72D297353CC}">
              <c16:uniqueId val="{00000005-8A8F-4C18-9BEE-495E90A0F994}"/>
            </c:ext>
          </c:extLst>
        </c:ser>
        <c:dLbls>
          <c:showLegendKey val="0"/>
          <c:showVal val="0"/>
          <c:showCatName val="0"/>
          <c:showSerName val="0"/>
          <c:showPercent val="0"/>
          <c:showBubbleSize val="0"/>
        </c:dLbls>
        <c:gapWidth val="150"/>
        <c:overlap val="100"/>
        <c:axId val="433365760"/>
        <c:axId val="433367680"/>
      </c:barChart>
      <c:catAx>
        <c:axId val="433365760"/>
        <c:scaling>
          <c:orientation val="minMax"/>
        </c:scaling>
        <c:delete val="0"/>
        <c:axPos val="b"/>
        <c:numFmt formatCode="General" sourceLinked="0"/>
        <c:majorTickMark val="out"/>
        <c:minorTickMark val="none"/>
        <c:tickLblPos val="nextTo"/>
        <c:txPr>
          <a:bodyPr/>
          <a:lstStyle/>
          <a:p>
            <a:pPr>
              <a:defRPr sz="1400"/>
            </a:pPr>
            <a:endParaRPr lang="nl-BE"/>
          </a:p>
        </c:txPr>
        <c:crossAx val="433367680"/>
        <c:crosses val="autoZero"/>
        <c:auto val="1"/>
        <c:lblAlgn val="ctr"/>
        <c:lblOffset val="100"/>
        <c:noMultiLvlLbl val="0"/>
      </c:catAx>
      <c:valAx>
        <c:axId val="433367680"/>
        <c:scaling>
          <c:orientation val="minMax"/>
        </c:scaling>
        <c:delete val="0"/>
        <c:axPos val="l"/>
        <c:majorGridlines/>
        <c:title>
          <c:tx>
            <c:rich>
              <a:bodyPr rot="-5400000" vert="horz"/>
              <a:lstStyle/>
              <a:p>
                <a:pPr>
                  <a:defRPr sz="1600"/>
                </a:pPr>
                <a:r>
                  <a:rPr lang="nl-BE" sz="1600"/>
                  <a:t>Production capacity [MW]</a:t>
                </a:r>
              </a:p>
            </c:rich>
          </c:tx>
          <c:overlay val="0"/>
        </c:title>
        <c:numFmt formatCode="_ * #,##0_ ;_ * \-#,##0_ ;_ * &quot;-&quot;??_ ;_ @_ " sourceLinked="1"/>
        <c:majorTickMark val="out"/>
        <c:minorTickMark val="none"/>
        <c:tickLblPos val="nextTo"/>
        <c:txPr>
          <a:bodyPr/>
          <a:lstStyle/>
          <a:p>
            <a:pPr>
              <a:defRPr sz="1400"/>
            </a:pPr>
            <a:endParaRPr lang="nl-BE"/>
          </a:p>
        </c:txPr>
        <c:crossAx val="433365760"/>
        <c:crosses val="autoZero"/>
        <c:crossBetween val="between"/>
      </c:valAx>
    </c:plotArea>
    <c:legend>
      <c:legendPos val="b"/>
      <c:layout>
        <c:manualLayout>
          <c:xMode val="edge"/>
          <c:yMode val="edge"/>
          <c:x val="0.20492127342334671"/>
          <c:y val="0.91139751243103728"/>
          <c:w val="0.64586619974890402"/>
          <c:h val="5.6796070280383172E-2"/>
        </c:manualLayout>
      </c:layout>
      <c:overlay val="0"/>
      <c:txPr>
        <a:bodyPr/>
        <a:lstStyle/>
        <a:p>
          <a:pPr>
            <a:defRPr sz="1400"/>
          </a:pPr>
          <a:endParaRPr lang="nl-BE"/>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02640828952877"/>
          <c:y val="5.3709328022064441E-2"/>
          <c:w val="0.85546174268004294"/>
          <c:h val="0.73751984172515961"/>
        </c:manualLayout>
      </c:layout>
      <c:barChart>
        <c:barDir val="col"/>
        <c:grouping val="stacked"/>
        <c:varyColors val="0"/>
        <c:ser>
          <c:idx val="3"/>
          <c:order val="3"/>
          <c:tx>
            <c:strRef>
              <c:f>'1.2. Renewable and non-CIPU'!$C$20</c:f>
              <c:strCache>
                <c:ptCount val="1"/>
                <c:pt idx="0">
                  <c:v>Biomass - non-CIPU</c:v>
                </c:pt>
              </c:strCache>
            </c:strRef>
          </c:tx>
          <c:spPr>
            <a:solidFill>
              <a:srgbClr val="00B050"/>
            </a:solidFill>
          </c:spPr>
          <c:invertIfNegative val="0"/>
          <c:cat>
            <c:numRef>
              <c:extLst>
                <c:ext xmlns:c15="http://schemas.microsoft.com/office/drawing/2012/chart" uri="{02D57815-91ED-43cb-92C2-25804820EDAC}">
                  <c15:fullRef>
                    <c15:sqref>'1.2. Renewable and non-CIPU'!$D$6:$Q$6</c15:sqref>
                  </c15:fullRef>
                </c:ext>
              </c:extLst>
              <c:f>'1.2. Renewable and non-CIPU'!$E$6:$Q$6</c:f>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extLst>
                <c:ext xmlns:c15="http://schemas.microsoft.com/office/drawing/2012/chart" uri="{02D57815-91ED-43cb-92C2-25804820EDAC}">
                  <c15:fullRef>
                    <c15:sqref>'1.2. Renewable and non-CIPU'!$D$20:$Q$20</c15:sqref>
                  </c15:fullRef>
                </c:ext>
              </c:extLst>
              <c:f>'1.2. Renewable and non-CIPU'!$E$20:$Q$20</c:f>
              <c:numCache>
                <c:formatCode>_ * #,##0_ ;_ * \-#,##0_ ;_ * "-"??_ ;_ @_ </c:formatCode>
                <c:ptCount val="13"/>
                <c:pt idx="0">
                  <c:v>534</c:v>
                </c:pt>
                <c:pt idx="1">
                  <c:v>534</c:v>
                </c:pt>
                <c:pt idx="2">
                  <c:v>534</c:v>
                </c:pt>
                <c:pt idx="3">
                  <c:v>539.33333333333337</c:v>
                </c:pt>
                <c:pt idx="4">
                  <c:v>544.66666666666663</c:v>
                </c:pt>
                <c:pt idx="5">
                  <c:v>550</c:v>
                </c:pt>
                <c:pt idx="6">
                  <c:v>550</c:v>
                </c:pt>
                <c:pt idx="7">
                  <c:v>550</c:v>
                </c:pt>
                <c:pt idx="8">
                  <c:v>550</c:v>
                </c:pt>
                <c:pt idx="9">
                  <c:v>550</c:v>
                </c:pt>
                <c:pt idx="10">
                  <c:v>550</c:v>
                </c:pt>
                <c:pt idx="11">
                  <c:v>550</c:v>
                </c:pt>
                <c:pt idx="12">
                  <c:v>550</c:v>
                </c:pt>
              </c:numCache>
            </c:numRef>
          </c:val>
          <c:extLst>
            <c:ext xmlns:c16="http://schemas.microsoft.com/office/drawing/2014/chart" uri="{C3380CC4-5D6E-409C-BE32-E72D297353CC}">
              <c16:uniqueId val="{00000003-6569-4037-B862-B4562CA504DE}"/>
            </c:ext>
          </c:extLst>
        </c:ser>
        <c:ser>
          <c:idx val="5"/>
          <c:order val="4"/>
          <c:tx>
            <c:strRef>
              <c:f>'1.2. Renewable and non-CIPU'!$C$22</c:f>
              <c:strCache>
                <c:ptCount val="1"/>
                <c:pt idx="0">
                  <c:v>Waste - non-CIPU</c:v>
                </c:pt>
              </c:strCache>
            </c:strRef>
          </c:tx>
          <c:spPr>
            <a:solidFill>
              <a:schemeClr val="tx1">
                <a:lumMod val="50000"/>
                <a:lumOff val="50000"/>
              </a:schemeClr>
            </a:solidFill>
          </c:spPr>
          <c:invertIfNegative val="0"/>
          <c:cat>
            <c:numRef>
              <c:extLst>
                <c:ext xmlns:c15="http://schemas.microsoft.com/office/drawing/2012/chart" uri="{02D57815-91ED-43cb-92C2-25804820EDAC}">
                  <c15:fullRef>
                    <c15:sqref>'1.2. Renewable and non-CIPU'!$D$6:$Q$6</c15:sqref>
                  </c15:fullRef>
                </c:ext>
              </c:extLst>
              <c:f>'1.2. Renewable and non-CIPU'!$E$6:$Q$6</c:f>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extLst>
                <c:ext xmlns:c15="http://schemas.microsoft.com/office/drawing/2012/chart" uri="{02D57815-91ED-43cb-92C2-25804820EDAC}">
                  <c15:fullRef>
                    <c15:sqref>'1.2. Renewable and non-CIPU'!$D$22:$Q$22</c15:sqref>
                  </c15:fullRef>
                </c:ext>
              </c:extLst>
              <c:f>'1.2. Renewable and non-CIPU'!$E$22:$Q$22</c:f>
              <c:numCache>
                <c:formatCode>_ * #,##0_ ;_ * \-#,##0_ ;_ * "-"??_ ;_ @_ </c:formatCode>
                <c:ptCount val="13"/>
                <c:pt idx="0">
                  <c:v>48</c:v>
                </c:pt>
                <c:pt idx="1">
                  <c:v>48</c:v>
                </c:pt>
                <c:pt idx="2">
                  <c:v>48</c:v>
                </c:pt>
                <c:pt idx="3">
                  <c:v>48</c:v>
                </c:pt>
                <c:pt idx="4">
                  <c:v>48</c:v>
                </c:pt>
                <c:pt idx="5">
                  <c:v>48</c:v>
                </c:pt>
                <c:pt idx="6">
                  <c:v>48</c:v>
                </c:pt>
                <c:pt idx="7">
                  <c:v>48</c:v>
                </c:pt>
                <c:pt idx="8">
                  <c:v>48</c:v>
                </c:pt>
                <c:pt idx="9">
                  <c:v>48</c:v>
                </c:pt>
                <c:pt idx="10">
                  <c:v>48</c:v>
                </c:pt>
                <c:pt idx="11">
                  <c:v>48</c:v>
                </c:pt>
                <c:pt idx="12">
                  <c:v>48</c:v>
                </c:pt>
              </c:numCache>
            </c:numRef>
          </c:val>
          <c:extLst>
            <c:ext xmlns:c16="http://schemas.microsoft.com/office/drawing/2014/chart" uri="{C3380CC4-5D6E-409C-BE32-E72D297353CC}">
              <c16:uniqueId val="{00000004-6569-4037-B862-B4562CA504DE}"/>
            </c:ext>
          </c:extLst>
        </c:ser>
        <c:ser>
          <c:idx val="1"/>
          <c:order val="6"/>
          <c:tx>
            <c:strRef>
              <c:f>'1.2. Renewable and non-CIPU'!$C$16</c:f>
              <c:strCache>
                <c:ptCount val="1"/>
                <c:pt idx="0">
                  <c:v>Gas CHP - non-CIPU</c:v>
                </c:pt>
              </c:strCache>
            </c:strRef>
          </c:tx>
          <c:invertIfNegative val="0"/>
          <c:cat>
            <c:strLit>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 Renewable and non-CIPU'!$D$16:$Q$16</c15:sqref>
                  </c15:fullRef>
                </c:ext>
              </c:extLst>
              <c:f>'1.2. Renewable and non-CIPU'!$E$16:$Q$16</c:f>
              <c:numCache>
                <c:formatCode>_ * #,##0_ ;_ * \-#,##0_ ;_ * "-"??_ ;_ @_ </c:formatCode>
                <c:ptCount val="13"/>
                <c:pt idx="0">
                  <c:v>1380</c:v>
                </c:pt>
                <c:pt idx="1">
                  <c:v>1396</c:v>
                </c:pt>
                <c:pt idx="2">
                  <c:v>1396</c:v>
                </c:pt>
                <c:pt idx="3">
                  <c:v>1435</c:v>
                </c:pt>
                <c:pt idx="4">
                  <c:v>1474</c:v>
                </c:pt>
                <c:pt idx="5">
                  <c:v>1512</c:v>
                </c:pt>
                <c:pt idx="6">
                  <c:v>1512</c:v>
                </c:pt>
                <c:pt idx="7">
                  <c:v>1512</c:v>
                </c:pt>
                <c:pt idx="8">
                  <c:v>1512</c:v>
                </c:pt>
                <c:pt idx="9">
                  <c:v>1512</c:v>
                </c:pt>
                <c:pt idx="10">
                  <c:v>1512</c:v>
                </c:pt>
                <c:pt idx="11">
                  <c:v>1512</c:v>
                </c:pt>
                <c:pt idx="12">
                  <c:v>1512</c:v>
                </c:pt>
              </c:numCache>
            </c:numRef>
          </c:val>
          <c:extLst>
            <c:ext xmlns:c16="http://schemas.microsoft.com/office/drawing/2014/chart" uri="{C3380CC4-5D6E-409C-BE32-E72D297353CC}">
              <c16:uniqueId val="{00000006-6569-4037-B862-B4562CA504DE}"/>
            </c:ext>
          </c:extLst>
        </c:ser>
        <c:dLbls>
          <c:showLegendKey val="0"/>
          <c:showVal val="0"/>
          <c:showCatName val="0"/>
          <c:showSerName val="0"/>
          <c:showPercent val="0"/>
          <c:showBubbleSize val="0"/>
        </c:dLbls>
        <c:gapWidth val="150"/>
        <c:overlap val="100"/>
        <c:axId val="433365760"/>
        <c:axId val="433367680"/>
        <c:extLst>
          <c:ext xmlns:c15="http://schemas.microsoft.com/office/drawing/2012/chart" uri="{02D57815-91ED-43cb-92C2-25804820EDAC}">
            <c15:filteredBarSeries>
              <c15:ser>
                <c:idx val="2"/>
                <c:order val="0"/>
                <c:tx>
                  <c:strRef>
                    <c:extLst>
                      <c:ext uri="{02D57815-91ED-43cb-92C2-25804820EDAC}">
                        <c15:formulaRef>
                          <c15:sqref>'1.2. Renewable and non-CIPU'!$C$9</c15:sqref>
                        </c15:formulaRef>
                      </c:ext>
                    </c:extLst>
                    <c:strCache>
                      <c:ptCount val="1"/>
                      <c:pt idx="0">
                        <c:v>Wind onshore</c:v>
                      </c:pt>
                    </c:strCache>
                  </c:strRef>
                </c:tx>
                <c:spPr>
                  <a:solidFill>
                    <a:schemeClr val="accent5">
                      <a:lumMod val="75000"/>
                    </a:schemeClr>
                  </a:solidFill>
                </c:spPr>
                <c:invertIfNegative val="0"/>
                <c:cat>
                  <c:numRef>
                    <c:extLst>
                      <c:ext uri="{02D57815-91ED-43cb-92C2-25804820EDAC}">
                        <c15:fullRef>
                          <c15:sqref>'1.2. Renewable and non-CIPU'!$D$6:$Q$6</c15:sqref>
                        </c15:fullRef>
                        <c15:formulaRef>
                          <c15:sqref>'1.2. Renewable and non-CIPU'!$E$6:$Q$6</c15:sqref>
                        </c15:formulaRef>
                      </c:ext>
                    </c:extLst>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extLst>
                      <c:ext uri="{02D57815-91ED-43cb-92C2-25804820EDAC}">
                        <c15:fullRef>
                          <c15:sqref>'1.2. Renewable and non-CIPU'!$D$9:$Q$9</c15:sqref>
                        </c15:fullRef>
                        <c15:formulaRef>
                          <c15:sqref>'1.2. Renewable and non-CIPU'!$E$9:$Q$9</c15:sqref>
                        </c15:formulaRef>
                      </c:ext>
                    </c:extLst>
                    <c:numCache>
                      <c:formatCode>_ * #,##0_ ;_ * \-#,##0_ ;_ * "-"??_ ;_ @_ </c:formatCode>
                      <c:ptCount val="13"/>
                      <c:pt idx="0">
                        <c:v>3012</c:v>
                      </c:pt>
                      <c:pt idx="1">
                        <c:v>3298</c:v>
                      </c:pt>
                      <c:pt idx="2">
                        <c:v>3584</c:v>
                      </c:pt>
                      <c:pt idx="3">
                        <c:v>3870</c:v>
                      </c:pt>
                      <c:pt idx="4">
                        <c:v>4156</c:v>
                      </c:pt>
                      <c:pt idx="5">
                        <c:v>4442</c:v>
                      </c:pt>
                      <c:pt idx="6">
                        <c:v>4728</c:v>
                      </c:pt>
                      <c:pt idx="7">
                        <c:v>5014</c:v>
                      </c:pt>
                      <c:pt idx="8">
                        <c:v>5300</c:v>
                      </c:pt>
                      <c:pt idx="9">
                        <c:v>5586</c:v>
                      </c:pt>
                      <c:pt idx="10">
                        <c:v>5872</c:v>
                      </c:pt>
                      <c:pt idx="11">
                        <c:v>6158</c:v>
                      </c:pt>
                      <c:pt idx="12">
                        <c:v>6444</c:v>
                      </c:pt>
                    </c:numCache>
                  </c:numRef>
                </c:val>
                <c:extLst>
                  <c:ext xmlns:c16="http://schemas.microsoft.com/office/drawing/2014/chart" uri="{C3380CC4-5D6E-409C-BE32-E72D297353CC}">
                    <c16:uniqueId val="{00000000-6569-4037-B862-B4562CA504DE}"/>
                  </c:ext>
                </c:extLst>
              </c15:ser>
            </c15:filteredBarSeries>
            <c15:filteredBarSeries>
              <c15:ser>
                <c:idx val="0"/>
                <c:order val="1"/>
                <c:tx>
                  <c:strRef>
                    <c:extLst xmlns:c15="http://schemas.microsoft.com/office/drawing/2012/chart">
                      <c:ext xmlns:c15="http://schemas.microsoft.com/office/drawing/2012/chart" uri="{02D57815-91ED-43cb-92C2-25804820EDAC}">
                        <c15:formulaRef>
                          <c15:sqref>'1.2. Renewable and non-CIPU'!$C$10</c15:sqref>
                        </c15:formulaRef>
                      </c:ext>
                    </c:extLst>
                    <c:strCache>
                      <c:ptCount val="1"/>
                      <c:pt idx="0">
                        <c:v>Wind offshore</c:v>
                      </c:pt>
                    </c:strCache>
                  </c:strRef>
                </c:tx>
                <c:spPr>
                  <a:solidFill>
                    <a:schemeClr val="accent5"/>
                  </a:solidFill>
                </c:spPr>
                <c:invertIfNegative val="0"/>
                <c:cat>
                  <c:numRef>
                    <c:extLst>
                      <c:ext xmlns:c15="http://schemas.microsoft.com/office/drawing/2012/chart" uri="{02D57815-91ED-43cb-92C2-25804820EDAC}">
                        <c15:fullRef>
                          <c15:sqref>'1.2. Renewable and non-CIPU'!$D$6:$Q$6</c15:sqref>
                        </c15:fullRef>
                        <c15:formulaRef>
                          <c15:sqref>'1.2. Renewable and non-CIPU'!$E$6:$Q$6</c15:sqref>
                        </c15:formulaRef>
                      </c:ext>
                    </c:extLst>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extLst>
                      <c:ext xmlns:c15="http://schemas.microsoft.com/office/drawing/2012/chart" uri="{02D57815-91ED-43cb-92C2-25804820EDAC}">
                        <c15:fullRef>
                          <c15:sqref>'1.2. Renewable and non-CIPU'!$D$10:$Q$10</c15:sqref>
                        </c15:fullRef>
                        <c15:formulaRef>
                          <c15:sqref>'1.2. Renewable and non-CIPU'!$E$10:$Q$10</c15:sqref>
                        </c15:formulaRef>
                      </c:ext>
                    </c:extLst>
                    <c:numCache>
                      <c:formatCode>_ * #,##0_ ;_ * \-#,##0_ ;_ * "-"??_ ;_ @_ </c:formatCode>
                      <c:ptCount val="13"/>
                      <c:pt idx="0">
                        <c:v>2260</c:v>
                      </c:pt>
                      <c:pt idx="1">
                        <c:v>2260</c:v>
                      </c:pt>
                      <c:pt idx="2">
                        <c:v>2260</c:v>
                      </c:pt>
                      <c:pt idx="3">
                        <c:v>2260</c:v>
                      </c:pt>
                      <c:pt idx="4">
                        <c:v>2260</c:v>
                      </c:pt>
                      <c:pt idx="5">
                        <c:v>2260</c:v>
                      </c:pt>
                      <c:pt idx="6">
                        <c:v>2960</c:v>
                      </c:pt>
                      <c:pt idx="7">
                        <c:v>2960</c:v>
                      </c:pt>
                      <c:pt idx="8">
                        <c:v>5760</c:v>
                      </c:pt>
                      <c:pt idx="9">
                        <c:v>5760</c:v>
                      </c:pt>
                      <c:pt idx="10">
                        <c:v>5760</c:v>
                      </c:pt>
                      <c:pt idx="11">
                        <c:v>5760</c:v>
                      </c:pt>
                      <c:pt idx="12">
                        <c:v>5760</c:v>
                      </c:pt>
                    </c:numCache>
                  </c:numRef>
                </c:val>
                <c:extLst xmlns:c15="http://schemas.microsoft.com/office/drawing/2012/chart">
                  <c:ext xmlns:c16="http://schemas.microsoft.com/office/drawing/2014/chart" uri="{C3380CC4-5D6E-409C-BE32-E72D297353CC}">
                    <c16:uniqueId val="{00000001-6569-4037-B862-B4562CA504DE}"/>
                  </c:ext>
                </c:extLst>
              </c15:ser>
            </c15:filteredBarSeries>
            <c15:filteredBarSeries>
              <c15:ser>
                <c:idx val="4"/>
                <c:order val="2"/>
                <c:tx>
                  <c:strRef>
                    <c:extLst xmlns:c15="http://schemas.microsoft.com/office/drawing/2012/chart">
                      <c:ext xmlns:c15="http://schemas.microsoft.com/office/drawing/2012/chart" uri="{02D57815-91ED-43cb-92C2-25804820EDAC}">
                        <c15:formulaRef>
                          <c15:sqref>'1.2. Renewable and non-CIPU'!$C$12</c15:sqref>
                        </c15:formulaRef>
                      </c:ext>
                    </c:extLst>
                    <c:strCache>
                      <c:ptCount val="1"/>
                      <c:pt idx="0">
                        <c:v>Photovoltaics</c:v>
                      </c:pt>
                    </c:strCache>
                  </c:strRef>
                </c:tx>
                <c:spPr>
                  <a:solidFill>
                    <a:srgbClr val="FFC000"/>
                  </a:solidFill>
                </c:spPr>
                <c:invertIfNegative val="0"/>
                <c:cat>
                  <c:numRef>
                    <c:extLst>
                      <c:ext xmlns:c15="http://schemas.microsoft.com/office/drawing/2012/chart" uri="{02D57815-91ED-43cb-92C2-25804820EDAC}">
                        <c15:fullRef>
                          <c15:sqref>'1.2. Renewable and non-CIPU'!$D$6:$Q$6</c15:sqref>
                        </c15:fullRef>
                        <c15:formulaRef>
                          <c15:sqref>'1.2. Renewable and non-CIPU'!$E$6:$Q$6</c15:sqref>
                        </c15:formulaRef>
                      </c:ext>
                    </c:extLst>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extLst>
                      <c:ext xmlns:c15="http://schemas.microsoft.com/office/drawing/2012/chart" uri="{02D57815-91ED-43cb-92C2-25804820EDAC}">
                        <c15:fullRef>
                          <c15:sqref>'1.2. Renewable and non-CIPU'!$D$12:$Q$12</c15:sqref>
                        </c15:fullRef>
                        <c15:formulaRef>
                          <c15:sqref>'1.2. Renewable and non-CIPU'!$E$12:$Q$12</c15:sqref>
                        </c15:formulaRef>
                      </c:ext>
                    </c:extLst>
                    <c:numCache>
                      <c:formatCode>_ * #,##0_ ;_ * \-#,##0_ ;_ * "-"??_ ;_ @_ </c:formatCode>
                      <c:ptCount val="13"/>
                      <c:pt idx="0">
                        <c:v>7300</c:v>
                      </c:pt>
                      <c:pt idx="1">
                        <c:v>8300</c:v>
                      </c:pt>
                      <c:pt idx="2">
                        <c:v>9300</c:v>
                      </c:pt>
                      <c:pt idx="3">
                        <c:v>10100</c:v>
                      </c:pt>
                      <c:pt idx="4">
                        <c:v>10900</c:v>
                      </c:pt>
                      <c:pt idx="5">
                        <c:v>11700</c:v>
                      </c:pt>
                      <c:pt idx="6">
                        <c:v>12500</c:v>
                      </c:pt>
                      <c:pt idx="7">
                        <c:v>13300</c:v>
                      </c:pt>
                      <c:pt idx="8">
                        <c:v>14100</c:v>
                      </c:pt>
                      <c:pt idx="9">
                        <c:v>14900</c:v>
                      </c:pt>
                      <c:pt idx="10">
                        <c:v>15700</c:v>
                      </c:pt>
                      <c:pt idx="11">
                        <c:v>16500</c:v>
                      </c:pt>
                      <c:pt idx="12">
                        <c:v>17300</c:v>
                      </c:pt>
                    </c:numCache>
                  </c:numRef>
                </c:val>
                <c:extLst xmlns:c15="http://schemas.microsoft.com/office/drawing/2012/chart">
                  <c:ext xmlns:c16="http://schemas.microsoft.com/office/drawing/2014/chart" uri="{C3380CC4-5D6E-409C-BE32-E72D297353CC}">
                    <c16:uniqueId val="{00000002-6569-4037-B862-B4562CA504DE}"/>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'1.2. Renewable and non-CIPU'!$C$14</c15:sqref>
                        </c15:formulaRef>
                      </c:ext>
                    </c:extLst>
                    <c:strCache>
                      <c:ptCount val="1"/>
                      <c:pt idx="0">
                        <c:v>Hydro RoR</c:v>
                      </c:pt>
                    </c:strCache>
                  </c:strRef>
                </c:tx>
                <c:spPr>
                  <a:solidFill>
                    <a:schemeClr val="tx2"/>
                  </a:solidFill>
                </c:spPr>
                <c:invertIfNegative val="0"/>
                <c:cat>
                  <c:numRef>
                    <c:extLst>
                      <c:ext xmlns:c15="http://schemas.microsoft.com/office/drawing/2012/chart" uri="{02D57815-91ED-43cb-92C2-25804820EDAC}">
                        <c15:fullRef>
                          <c15:sqref>'1.2. Renewable and non-CIPU'!$D$6:$Q$6</c15:sqref>
                        </c15:fullRef>
                        <c15:formulaRef>
                          <c15:sqref>'1.2. Renewable and non-CIPU'!$E$6:$Q$6</c15:sqref>
                        </c15:formulaRef>
                      </c:ext>
                    </c:extLst>
                    <c:numCache>
                      <c:formatCode>General</c:formatCode>
                      <c:ptCount val="13"/>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numCache>
                  </c:numRef>
                </c:cat>
                <c:val>
                  <c:numRef>
                    <c:extLst>
                      <c:ext xmlns:c15="http://schemas.microsoft.com/office/drawing/2012/chart" uri="{02D57815-91ED-43cb-92C2-25804820EDAC}">
                        <c15:fullRef>
                          <c15:sqref>'1.2. Renewable and non-CIPU'!$D$14:$Q$14</c15:sqref>
                        </c15:fullRef>
                        <c15:formulaRef>
                          <c15:sqref>'1.2. Renewable and non-CIPU'!$E$14:$Q$14</c15:sqref>
                        </c15:formulaRef>
                      </c:ext>
                    </c:extLst>
                    <c:numCache>
                      <c:formatCode>_ * #,##0_ ;_ * \-#,##0_ ;_ * "-"??_ ;_ @_ </c:formatCode>
                      <c:ptCount val="13"/>
                      <c:pt idx="0">
                        <c:v>125</c:v>
                      </c:pt>
                      <c:pt idx="1">
                        <c:v>129</c:v>
                      </c:pt>
                      <c:pt idx="2">
                        <c:v>133</c:v>
                      </c:pt>
                      <c:pt idx="3">
                        <c:v>137</c:v>
                      </c:pt>
                      <c:pt idx="4">
                        <c:v>140</c:v>
                      </c:pt>
                      <c:pt idx="5">
                        <c:v>143</c:v>
                      </c:pt>
                      <c:pt idx="6">
                        <c:v>145</c:v>
                      </c:pt>
                      <c:pt idx="7">
                        <c:v>148</c:v>
                      </c:pt>
                      <c:pt idx="8">
                        <c:v>151</c:v>
                      </c:pt>
                      <c:pt idx="9">
                        <c:v>154</c:v>
                      </c:pt>
                      <c:pt idx="10">
                        <c:v>157</c:v>
                      </c:pt>
                      <c:pt idx="11">
                        <c:v>160</c:v>
                      </c:pt>
                      <c:pt idx="12">
                        <c:v>163</c:v>
                      </c:pt>
                    </c:numCache>
                  </c:numRef>
                </c:val>
                <c:extLst xmlns:c15="http://schemas.microsoft.com/office/drawing/2012/chart">
                  <c:ext xmlns:c16="http://schemas.microsoft.com/office/drawing/2014/chart" uri="{C3380CC4-5D6E-409C-BE32-E72D297353CC}">
                    <c16:uniqueId val="{00000005-6569-4037-B862-B4562CA504DE}"/>
                  </c:ext>
                </c:extLst>
              </c15:ser>
            </c15:filteredBarSeries>
          </c:ext>
        </c:extLst>
      </c:barChart>
      <c:catAx>
        <c:axId val="433365760"/>
        <c:scaling>
          <c:orientation val="minMax"/>
        </c:scaling>
        <c:delete val="0"/>
        <c:axPos val="b"/>
        <c:numFmt formatCode="General" sourceLinked="0"/>
        <c:majorTickMark val="out"/>
        <c:minorTickMark val="none"/>
        <c:tickLblPos val="nextTo"/>
        <c:txPr>
          <a:bodyPr/>
          <a:lstStyle/>
          <a:p>
            <a:pPr>
              <a:defRPr sz="1400"/>
            </a:pPr>
            <a:endParaRPr lang="nl-BE"/>
          </a:p>
        </c:txPr>
        <c:crossAx val="433367680"/>
        <c:crosses val="autoZero"/>
        <c:auto val="1"/>
        <c:lblAlgn val="ctr"/>
        <c:lblOffset val="100"/>
        <c:noMultiLvlLbl val="0"/>
      </c:catAx>
      <c:valAx>
        <c:axId val="433367680"/>
        <c:scaling>
          <c:orientation val="minMax"/>
        </c:scaling>
        <c:delete val="0"/>
        <c:axPos val="l"/>
        <c:majorGridlines/>
        <c:title>
          <c:tx>
            <c:rich>
              <a:bodyPr rot="-5400000" vert="horz"/>
              <a:lstStyle/>
              <a:p>
                <a:pPr>
                  <a:defRPr sz="1600"/>
                </a:pPr>
                <a:r>
                  <a:rPr lang="nl-BE" sz="1600"/>
                  <a:t>Production capacity [MW]</a:t>
                </a:r>
              </a:p>
            </c:rich>
          </c:tx>
          <c:overlay val="0"/>
        </c:title>
        <c:numFmt formatCode="_ * #,##0_ ;_ * \-#,##0_ ;_ * &quot;-&quot;??_ ;_ @_ " sourceLinked="1"/>
        <c:majorTickMark val="out"/>
        <c:minorTickMark val="none"/>
        <c:tickLblPos val="nextTo"/>
        <c:txPr>
          <a:bodyPr/>
          <a:lstStyle/>
          <a:p>
            <a:pPr>
              <a:defRPr sz="1400"/>
            </a:pPr>
            <a:endParaRPr lang="nl-BE"/>
          </a:p>
        </c:txPr>
        <c:crossAx val="433365760"/>
        <c:crosses val="autoZero"/>
        <c:crossBetween val="between"/>
      </c:valAx>
    </c:plotArea>
    <c:legend>
      <c:legendPos val="b"/>
      <c:layout>
        <c:manualLayout>
          <c:xMode val="edge"/>
          <c:yMode val="edge"/>
          <c:x val="0.20492127342334671"/>
          <c:y val="0.91139751243103728"/>
          <c:w val="0.64586619974890402"/>
          <c:h val="5.6796070280383172E-2"/>
        </c:manualLayout>
      </c:layout>
      <c:overlay val="0"/>
      <c:txPr>
        <a:bodyPr/>
        <a:lstStyle/>
        <a:p>
          <a:pPr>
            <a:defRPr sz="1400"/>
          </a:pPr>
          <a:endParaRPr lang="nl-BE"/>
        </a:p>
      </c:txPr>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69362143243324E-2"/>
          <c:y val="4.7680791944847284E-2"/>
          <c:w val="0.87247477375270521"/>
          <c:h val="0.77841595835203714"/>
        </c:manualLayout>
      </c:layout>
      <c:areaChart>
        <c:grouping val="stacked"/>
        <c:varyColors val="0"/>
        <c:ser>
          <c:idx val="1"/>
          <c:order val="4"/>
          <c:tx>
            <c:strRef>
              <c:f>'2.1. Tot. elec. demand'!$E$17</c:f>
              <c:strCache>
                <c:ptCount val="1"/>
                <c:pt idx="0">
                  <c:v>Organic total demand</c:v>
                </c:pt>
              </c:strCache>
            </c:strRef>
          </c:tx>
          <c:spPr>
            <a:noFill/>
          </c:spPr>
          <c:dLbls>
            <c:delete val="1"/>
          </c:dLbls>
          <c:cat>
            <c:numRef>
              <c:f>'2.1. Tot. elec. demand'!$C$18:$C$43</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'2.1. Tot. elec. demand'!$E$18:$E$43</c:f>
              <c:numCache>
                <c:formatCode>General</c:formatCode>
                <c:ptCount val="26"/>
                <c:pt idx="11" formatCode="0.0">
                  <c:v>84.7</c:v>
                </c:pt>
                <c:pt idx="12" formatCode="0.0">
                  <c:v>83.6</c:v>
                </c:pt>
                <c:pt idx="13" formatCode="0.0">
                  <c:v>83.7</c:v>
                </c:pt>
                <c:pt idx="14" formatCode="0.0">
                  <c:v>84.5</c:v>
                </c:pt>
                <c:pt idx="15" formatCode="0.0">
                  <c:v>85</c:v>
                </c:pt>
                <c:pt idx="16" formatCode="0.0">
                  <c:v>85.5</c:v>
                </c:pt>
                <c:pt idx="17" formatCode="0.0">
                  <c:v>86.1</c:v>
                </c:pt>
                <c:pt idx="18" formatCode="0.0">
                  <c:v>86.7</c:v>
                </c:pt>
                <c:pt idx="19" formatCode="0.0">
                  <c:v>87.4</c:v>
                </c:pt>
                <c:pt idx="20" formatCode="0.0">
                  <c:v>88.1</c:v>
                </c:pt>
                <c:pt idx="21" formatCode="0.0">
                  <c:v>88.6</c:v>
                </c:pt>
                <c:pt idx="22" formatCode="0.0">
                  <c:v>89</c:v>
                </c:pt>
                <c:pt idx="23" formatCode="0.0">
                  <c:v>89.5</c:v>
                </c:pt>
                <c:pt idx="24" formatCode="0.0">
                  <c:v>89.8</c:v>
                </c:pt>
                <c:pt idx="25" formatCode="0.0">
                  <c:v>90.1</c:v>
                </c:pt>
              </c:numCache>
            </c:numRef>
          </c:val>
          <c:extLst>
            <c:ext xmlns:c16="http://schemas.microsoft.com/office/drawing/2014/chart" uri="{C3380CC4-5D6E-409C-BE32-E72D297353CC}">
              <c16:uniqueId val="{00000000-4C7A-4A60-98DE-3A9EAC8D0038}"/>
            </c:ext>
          </c:extLst>
        </c:ser>
        <c:ser>
          <c:idx val="5"/>
          <c:order val="5"/>
          <c:tx>
            <c:strRef>
              <c:f>'2.1. Tot. elec. demand'!$J$17</c:f>
              <c:strCache>
                <c:ptCount val="1"/>
                <c:pt idx="0">
                  <c:v>Min Range increase</c:v>
                </c:pt>
              </c:strCache>
            </c:strRef>
          </c:tx>
          <c:spPr>
            <a:noFill/>
            <a:ln w="28575">
              <a:noFill/>
            </a:ln>
          </c:spPr>
          <c:dLbls>
            <c:delete val="1"/>
          </c:dLbls>
          <c:cat>
            <c:numRef>
              <c:f>'2.1. Tot. elec. demand'!$C$18:$C$43</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'2.1. Tot. elec. demand'!$J$18:$J$43</c:f>
              <c:numCache>
                <c:formatCode>General</c:formatCode>
                <c:ptCount val="26"/>
                <c:pt idx="11" formatCode="0.0">
                  <c:v>0</c:v>
                </c:pt>
                <c:pt idx="12" formatCode="0.00">
                  <c:v>0</c:v>
                </c:pt>
                <c:pt idx="13" formatCode="0.00">
                  <c:v>0.29999999999999716</c:v>
                </c:pt>
                <c:pt idx="14" formatCode="0.00">
                  <c:v>1.2999999999999972</c:v>
                </c:pt>
                <c:pt idx="15" formatCode="0.00">
                  <c:v>2.5999999999999943</c:v>
                </c:pt>
                <c:pt idx="16" formatCode="0.00">
                  <c:v>3.7000000000000028</c:v>
                </c:pt>
                <c:pt idx="17" formatCode="0.00">
                  <c:v>5.6000000000000085</c:v>
                </c:pt>
                <c:pt idx="18" formatCode="0.00">
                  <c:v>9.2999999999999972</c:v>
                </c:pt>
                <c:pt idx="19" formatCode="0.00">
                  <c:v>14.599999999999994</c:v>
                </c:pt>
                <c:pt idx="20" formatCode="0.00">
                  <c:v>19.300000000000011</c:v>
                </c:pt>
                <c:pt idx="21" formatCode="0.00">
                  <c:v>22.5</c:v>
                </c:pt>
                <c:pt idx="22" formatCode="0.00">
                  <c:v>25.400000000000006</c:v>
                </c:pt>
                <c:pt idx="23" formatCode="0.00">
                  <c:v>27.799999999999997</c:v>
                </c:pt>
                <c:pt idx="24" formatCode="0.00">
                  <c:v>30.200000000000003</c:v>
                </c:pt>
                <c:pt idx="25" formatCode="0.00">
                  <c:v>32.900000000000006</c:v>
                </c:pt>
              </c:numCache>
            </c:numRef>
          </c:val>
          <c:extLst>
            <c:ext xmlns:c16="http://schemas.microsoft.com/office/drawing/2014/chart" uri="{C3380CC4-5D6E-409C-BE32-E72D297353CC}">
              <c16:uniqueId val="{00000001-4C7A-4A60-98DE-3A9EAC8D0038}"/>
            </c:ext>
          </c:extLst>
        </c:ser>
        <c:ser>
          <c:idx val="6"/>
          <c:order val="6"/>
          <c:tx>
            <c:strRef>
              <c:f>'2.1. Tot. elec. demand'!$G$16</c:f>
              <c:strCache>
                <c:ptCount val="1"/>
                <c:pt idx="0">
                  <c:v>Additional industrial demand &amp; data center range</c:v>
                </c:pt>
              </c:strCache>
            </c:strRef>
          </c:tx>
          <c:spPr>
            <a:solidFill>
              <a:schemeClr val="bg1">
                <a:lumMod val="85000"/>
              </a:schemeClr>
            </a:solidFill>
            <a:ln w="28575">
              <a:noFill/>
            </a:ln>
          </c:spPr>
          <c:dLbls>
            <c:delete val="1"/>
          </c:dLbls>
          <c:cat>
            <c:numRef>
              <c:f>'2.1. Tot. elec. demand'!$C$18:$C$43</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'2.1. Tot. elec. demand'!$K$18:$K$43</c:f>
              <c:numCache>
                <c:formatCode>General</c:formatCode>
                <c:ptCount val="26"/>
                <c:pt idx="12" formatCode="0.00">
                  <c:v>0</c:v>
                </c:pt>
                <c:pt idx="13" formatCode="0.00">
                  <c:v>1.2999999999999972</c:v>
                </c:pt>
                <c:pt idx="14" formatCode="0.00">
                  <c:v>2.4000000000000057</c:v>
                </c:pt>
                <c:pt idx="15" formatCode="0.00">
                  <c:v>4.3000000000000114</c:v>
                </c:pt>
                <c:pt idx="16" formatCode="0.00">
                  <c:v>7</c:v>
                </c:pt>
                <c:pt idx="17" formatCode="0.00">
                  <c:v>10</c:v>
                </c:pt>
                <c:pt idx="18" formatCode="0.00">
                  <c:v>11.299999999999997</c:v>
                </c:pt>
                <c:pt idx="19" formatCode="0.00">
                  <c:v>11.099999999999994</c:v>
                </c:pt>
                <c:pt idx="20" formatCode="0.00">
                  <c:v>11.099999999999994</c:v>
                </c:pt>
                <c:pt idx="21" formatCode="0.00">
                  <c:v>11.700000000000003</c:v>
                </c:pt>
                <c:pt idx="22" formatCode="0.00">
                  <c:v>12.699999999999989</c:v>
                </c:pt>
                <c:pt idx="23" formatCode="0.00">
                  <c:v>14.100000000000009</c:v>
                </c:pt>
                <c:pt idx="24" formatCode="0.00">
                  <c:v>15.699999999999989</c:v>
                </c:pt>
                <c:pt idx="25" formatCode="0.00">
                  <c:v>16.800000000000011</c:v>
                </c:pt>
              </c:numCache>
            </c:numRef>
          </c:val>
          <c:extLst>
            <c:ext xmlns:c16="http://schemas.microsoft.com/office/drawing/2014/chart" uri="{C3380CC4-5D6E-409C-BE32-E72D297353CC}">
              <c16:uniqueId val="{00000002-4C7A-4A60-98DE-3A9EAC8D0038}"/>
            </c:ext>
          </c:extLst>
        </c:ser>
        <c:dLbls>
          <c:showLegendKey val="0"/>
          <c:showVal val="1"/>
          <c:showCatName val="0"/>
          <c:showSerName val="0"/>
          <c:showPercent val="0"/>
          <c:showBubbleSize val="0"/>
        </c:dLbls>
        <c:axId val="752692968"/>
        <c:axId val="752696904"/>
      </c:areaChart>
      <c:lineChart>
        <c:grouping val="standard"/>
        <c:varyColors val="0"/>
        <c:ser>
          <c:idx val="10"/>
          <c:order val="0"/>
          <c:tx>
            <c:strRef>
              <c:f>'2.1. Tot. elec. demand'!$I$17</c:f>
              <c:strCache>
                <c:ptCount val="1"/>
                <c:pt idx="0">
                  <c:v>Best Estimate</c:v>
                </c:pt>
              </c:strCache>
            </c:strRef>
          </c:tx>
          <c:spPr>
            <a:ln>
              <a:solidFill>
                <a:srgbClr val="FFC000"/>
              </a:solidFill>
            </a:ln>
          </c:spPr>
          <c:marker>
            <c:spPr>
              <a:solidFill>
                <a:srgbClr val="FFC000"/>
              </a:solidFill>
              <a:ln>
                <a:solidFill>
                  <a:srgbClr val="FFC000"/>
                </a:solidFill>
              </a:ln>
            </c:spPr>
          </c:marker>
          <c:dLbls>
            <c:dLbl>
              <c:idx val="6"/>
              <c:delete val="1"/>
              <c:extLst>
                <c:ext xmlns:c15="http://schemas.microsoft.com/office/drawing/2012/chart" uri="{CE6537A1-D6FC-4f65-9D91-7224C49458BB}"/>
                <c:ext xmlns:c16="http://schemas.microsoft.com/office/drawing/2014/chart" uri="{C3380CC4-5D6E-409C-BE32-E72D297353CC}">
                  <c16:uniqueId val="{00000003-4C7A-4A60-98DE-3A9EAC8D003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'2.1. Tot. elec. demand'!$C$18:$C$43</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'2.1. Tot. elec. demand'!$I$18:$I$43</c:f>
              <c:numCache>
                <c:formatCode>General</c:formatCode>
                <c:ptCount val="26"/>
                <c:pt idx="11" formatCode="0.0">
                  <c:v>84.7</c:v>
                </c:pt>
                <c:pt idx="12" formatCode="0.0">
                  <c:v>83.6</c:v>
                </c:pt>
                <c:pt idx="13" formatCode="0.0">
                  <c:v>84.657747531810699</c:v>
                </c:pt>
                <c:pt idx="14" formatCode="0.0">
                  <c:v>86.978727054678927</c:v>
                </c:pt>
                <c:pt idx="15" formatCode="0.0">
                  <c:v>89.747201275229202</c:v>
                </c:pt>
                <c:pt idx="16" formatCode="0.0">
                  <c:v>92.710734065111694</c:v>
                </c:pt>
                <c:pt idx="17" formatCode="0.0">
                  <c:v>96.700997543262361</c:v>
                </c:pt>
                <c:pt idx="18" formatCode="0.0">
                  <c:v>101.65845388532441</c:v>
                </c:pt>
                <c:pt idx="19" formatCode="0.0">
                  <c:v>107.54655088130298</c:v>
                </c:pt>
                <c:pt idx="20" formatCode="0.0">
                  <c:v>112.99295072627066</c:v>
                </c:pt>
                <c:pt idx="21" formatCode="0.0">
                  <c:v>116.95175821051346</c:v>
                </c:pt>
                <c:pt idx="22" formatCode="0.0">
                  <c:v>120.76538128967715</c:v>
                </c:pt>
                <c:pt idx="23" formatCode="0.0">
                  <c:v>124.3914219011842</c:v>
                </c:pt>
                <c:pt idx="24" formatCode="0.0">
                  <c:v>127.83543429997393</c:v>
                </c:pt>
                <c:pt idx="25" formatCode="0.0">
                  <c:v>131.39591278693277</c:v>
                </c:pt>
              </c:numCache>
            </c:numRef>
          </c:val>
          <c:smooth val="0"/>
          <c:extLst>
            <c:ext xmlns:c16="http://schemas.microsoft.com/office/drawing/2014/chart" uri="{C3380CC4-5D6E-409C-BE32-E72D297353CC}">
              <c16:uniqueId val="{00000004-4C7A-4A60-98DE-3A9EAC8D0038}"/>
            </c:ext>
          </c:extLst>
        </c:ser>
        <c:ser>
          <c:idx val="11"/>
          <c:order val="1"/>
          <c:tx>
            <c:strRef>
              <c:f>'2.1. Tot. elec. demand'!$F$17</c:f>
              <c:strCache>
                <c:ptCount val="1"/>
                <c:pt idx="0">
                  <c:v>Total Demand incl. EV &amp; HP</c:v>
                </c:pt>
              </c:strCache>
            </c:strRef>
          </c:tx>
          <c:spPr>
            <a:ln>
              <a:solidFill>
                <a:schemeClr val="tx1">
                  <a:lumMod val="65000"/>
                  <a:lumOff val="35000"/>
                </a:schemeClr>
              </a:solidFill>
            </a:ln>
          </c:spPr>
          <c:marker>
            <c:spPr>
              <a:solidFill>
                <a:schemeClr val="tx1">
                  <a:lumMod val="65000"/>
                  <a:lumOff val="35000"/>
                </a:schemeClr>
              </a:solidFill>
              <a:ln>
                <a:solidFill>
                  <a:schemeClr val="tx1">
                    <a:lumMod val="65000"/>
                    <a:lumOff val="35000"/>
                  </a:schemeClr>
                </a:solidFill>
              </a:ln>
            </c:spPr>
          </c:marker>
          <c:dLbls>
            <c:dLbl>
              <c:idx val="2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7A-4A60-98DE-3A9EAC8D00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'2.1. Tot. elec. demand'!$C$18:$C$43</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'2.1. Tot. elec. demand'!$F$18:$F$43</c:f>
              <c:numCache>
                <c:formatCode>General</c:formatCode>
                <c:ptCount val="26"/>
                <c:pt idx="11" formatCode="0.0">
                  <c:v>84.7</c:v>
                </c:pt>
                <c:pt idx="12" formatCode="0.00">
                  <c:v>83.6</c:v>
                </c:pt>
                <c:pt idx="13" formatCode="0.0">
                  <c:v>84</c:v>
                </c:pt>
                <c:pt idx="14" formatCode="0.0">
                  <c:v>85.8</c:v>
                </c:pt>
                <c:pt idx="15" formatCode="0.0">
                  <c:v>87.5</c:v>
                </c:pt>
                <c:pt idx="16" formatCode="0.0">
                  <c:v>88.9</c:v>
                </c:pt>
                <c:pt idx="17" formatCode="0.0">
                  <c:v>90.7</c:v>
                </c:pt>
                <c:pt idx="18" formatCode="0.0">
                  <c:v>92.6</c:v>
                </c:pt>
                <c:pt idx="19" formatCode="0.0">
                  <c:v>94.6</c:v>
                </c:pt>
                <c:pt idx="20" formatCode="0.0">
                  <c:v>96.4</c:v>
                </c:pt>
                <c:pt idx="21" formatCode="0.0">
                  <c:v>98.1</c:v>
                </c:pt>
                <c:pt idx="22" formatCode="0.0">
                  <c:v>99.7</c:v>
                </c:pt>
                <c:pt idx="23" formatCode="0.0">
                  <c:v>101.4</c:v>
                </c:pt>
                <c:pt idx="24" formatCode="0.0">
                  <c:v>103</c:v>
                </c:pt>
                <c:pt idx="25" formatCode="0.0">
                  <c:v>104.5</c:v>
                </c:pt>
              </c:numCache>
            </c:numRef>
          </c:val>
          <c:smooth val="0"/>
          <c:extLst>
            <c:ext xmlns:c16="http://schemas.microsoft.com/office/drawing/2014/chart" uri="{C3380CC4-5D6E-409C-BE32-E72D297353CC}">
              <c16:uniqueId val="{00000006-4C7A-4A60-98DE-3A9EAC8D0038}"/>
            </c:ext>
          </c:extLst>
        </c:ser>
        <c:ser>
          <c:idx val="4"/>
          <c:order val="2"/>
          <c:tx>
            <c:strRef>
              <c:f>'2.1. Tot. elec. demand'!$E$17</c:f>
              <c:strCache>
                <c:ptCount val="1"/>
                <c:pt idx="0">
                  <c:v>Organic total demand</c:v>
                </c:pt>
              </c:strCache>
            </c:strRef>
          </c:tx>
          <c:spPr>
            <a:ln>
              <a:solidFill>
                <a:schemeClr val="tx1">
                  <a:lumMod val="50000"/>
                  <a:lumOff val="50000"/>
                </a:schemeClr>
              </a:solidFill>
            </a:ln>
          </c:spPr>
          <c:marker>
            <c:symbol val="circle"/>
            <c:size val="7"/>
            <c:spPr>
              <a:solidFill>
                <a:schemeClr val="tx1">
                  <a:lumMod val="50000"/>
                  <a:lumOff val="50000"/>
                </a:schemeClr>
              </a:solidFill>
              <a:ln>
                <a:solidFill>
                  <a:schemeClr val="tx1">
                    <a:lumMod val="50000"/>
                    <a:lumOff val="50000"/>
                  </a:schemeClr>
                </a:solidFill>
              </a:ln>
            </c:spPr>
          </c:marker>
          <c:dLbls>
            <c:dLbl>
              <c:idx val="2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C7A-4A60-98DE-3A9EAC8D00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'2.1. Tot. elec. demand'!$C$18:$C$43</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'2.1. Tot. elec. demand'!$E$18:$E$43</c:f>
              <c:numCache>
                <c:formatCode>General</c:formatCode>
                <c:ptCount val="26"/>
                <c:pt idx="11" formatCode="0.0">
                  <c:v>84.7</c:v>
                </c:pt>
                <c:pt idx="12" formatCode="0.0">
                  <c:v>83.6</c:v>
                </c:pt>
                <c:pt idx="13" formatCode="0.0">
                  <c:v>83.7</c:v>
                </c:pt>
                <c:pt idx="14" formatCode="0.0">
                  <c:v>84.5</c:v>
                </c:pt>
                <c:pt idx="15" formatCode="0.0">
                  <c:v>85</c:v>
                </c:pt>
                <c:pt idx="16" formatCode="0.0">
                  <c:v>85.5</c:v>
                </c:pt>
                <c:pt idx="17" formatCode="0.0">
                  <c:v>86.1</c:v>
                </c:pt>
                <c:pt idx="18" formatCode="0.0">
                  <c:v>86.7</c:v>
                </c:pt>
                <c:pt idx="19" formatCode="0.0">
                  <c:v>87.4</c:v>
                </c:pt>
                <c:pt idx="20" formatCode="0.0">
                  <c:v>88.1</c:v>
                </c:pt>
                <c:pt idx="21" formatCode="0.0">
                  <c:v>88.6</c:v>
                </c:pt>
                <c:pt idx="22" formatCode="0.0">
                  <c:v>89</c:v>
                </c:pt>
                <c:pt idx="23" formatCode="0.0">
                  <c:v>89.5</c:v>
                </c:pt>
                <c:pt idx="24" formatCode="0.0">
                  <c:v>89.8</c:v>
                </c:pt>
                <c:pt idx="25" formatCode="0.0">
                  <c:v>90.1</c:v>
                </c:pt>
              </c:numCache>
            </c:numRef>
          </c:val>
          <c:smooth val="0"/>
          <c:extLst>
            <c:ext xmlns:c16="http://schemas.microsoft.com/office/drawing/2014/chart" uri="{C3380CC4-5D6E-409C-BE32-E72D297353CC}">
              <c16:uniqueId val="{00000008-4C7A-4A60-98DE-3A9EAC8D0038}"/>
            </c:ext>
          </c:extLst>
        </c:ser>
        <c:ser>
          <c:idx val="0"/>
          <c:order val="3"/>
          <c:tx>
            <c:strRef>
              <c:f>'2.1. Tot. elec. demand'!$D$17</c:f>
              <c:strCache>
                <c:ptCount val="1"/>
                <c:pt idx="0">
                  <c:v>Historical normalised  total demand</c:v>
                </c:pt>
              </c:strCache>
            </c:strRef>
          </c:tx>
          <c:spPr>
            <a:ln>
              <a:solidFill>
                <a:schemeClr val="bg1">
                  <a:lumMod val="65000"/>
                </a:schemeClr>
              </a:solidFill>
            </a:ln>
            <a:effectLst/>
          </c:spPr>
          <c:marker>
            <c:symbol val="circle"/>
            <c:size val="5"/>
            <c:spPr>
              <a:solidFill>
                <a:schemeClr val="bg1">
                  <a:lumMod val="75000"/>
                </a:schemeClr>
              </a:solidFill>
              <a:ln w="19050">
                <a:solidFill>
                  <a:schemeClr val="bg1">
                    <a:lumMod val="65000"/>
                  </a:schemeClr>
                </a:solidFill>
                <a:prstDash val="sysDash"/>
              </a:ln>
              <a:effectLst/>
            </c:spPr>
          </c:marker>
          <c:dPt>
            <c:idx val="0"/>
            <c:bubble3D val="0"/>
            <c:extLst>
              <c:ext xmlns:c16="http://schemas.microsoft.com/office/drawing/2014/chart" uri="{C3380CC4-5D6E-409C-BE32-E72D297353CC}">
                <c16:uniqueId val="{00000009-4C7A-4A60-98DE-3A9EAC8D0038}"/>
              </c:ext>
            </c:extLst>
          </c:dPt>
          <c:cat>
            <c:numRef>
              <c:f>'2.1. Tot. elec. demand'!$C$18:$C$43</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'2.1. Tot. elec. demand'!$D$18:$D$43</c:f>
              <c:numCache>
                <c:formatCode>General</c:formatCode>
                <c:ptCount val="26"/>
                <c:pt idx="0">
                  <c:v>89.3</c:v>
                </c:pt>
                <c:pt idx="1">
                  <c:v>88.2</c:v>
                </c:pt>
                <c:pt idx="2">
                  <c:v>84.7</c:v>
                </c:pt>
                <c:pt idx="3">
                  <c:v>85.8</c:v>
                </c:pt>
                <c:pt idx="4">
                  <c:v>89.4</c:v>
                </c:pt>
                <c:pt idx="5" formatCode="0.0">
                  <c:v>88.3</c:v>
                </c:pt>
                <c:pt idx="6" formatCode="0.0">
                  <c:v>86.4</c:v>
                </c:pt>
                <c:pt idx="7" formatCode="0.0">
                  <c:v>87.4</c:v>
                </c:pt>
                <c:pt idx="8" formatCode="0.0">
                  <c:v>88</c:v>
                </c:pt>
                <c:pt idx="9" formatCode="0.0">
                  <c:v>85.7</c:v>
                </c:pt>
                <c:pt idx="10" formatCode="0.0">
                  <c:v>82.1</c:v>
                </c:pt>
                <c:pt idx="11" formatCode="0.0">
                  <c:v>84.7</c:v>
                </c:pt>
              </c:numCache>
            </c:numRef>
          </c:val>
          <c:smooth val="0"/>
          <c:extLst>
            <c:ext xmlns:c16="http://schemas.microsoft.com/office/drawing/2014/chart" uri="{C3380CC4-5D6E-409C-BE32-E72D297353CC}">
              <c16:uniqueId val="{0000000A-4C7A-4A60-98DE-3A9EAC8D0038}"/>
            </c:ext>
          </c:extLst>
        </c:ser>
        <c:dLbls>
          <c:showLegendKey val="0"/>
          <c:showVal val="0"/>
          <c:showCatName val="0"/>
          <c:showSerName val="0"/>
          <c:showPercent val="0"/>
          <c:showBubbleSize val="0"/>
        </c:dLbls>
        <c:marker val="1"/>
        <c:smooth val="0"/>
        <c:axId val="752692968"/>
        <c:axId val="752696904"/>
      </c:lineChart>
      <c:catAx>
        <c:axId val="752692968"/>
        <c:scaling>
          <c:orientation val="minMax"/>
        </c:scaling>
        <c:delete val="0"/>
        <c:axPos val="b"/>
        <c:title>
          <c:tx>
            <c:rich>
              <a:bodyPr/>
              <a:lstStyle/>
              <a:p>
                <a:pPr>
                  <a:defRPr sz="900">
                    <a:solidFill>
                      <a:schemeClr val="tx1">
                        <a:lumMod val="65000"/>
                        <a:lumOff val="35000"/>
                      </a:schemeClr>
                    </a:solidFill>
                  </a:defRPr>
                </a:pPr>
                <a:r>
                  <a:rPr lang="nl-BE" sz="900">
                    <a:solidFill>
                      <a:schemeClr val="tx1">
                        <a:lumMod val="65000"/>
                        <a:lumOff val="35000"/>
                      </a:schemeClr>
                    </a:solidFill>
                  </a:rPr>
                  <a:t>Year</a:t>
                </a:r>
              </a:p>
            </c:rich>
          </c:tx>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52696904"/>
        <c:crosses val="autoZero"/>
        <c:auto val="1"/>
        <c:lblAlgn val="ctr"/>
        <c:lblOffset val="100"/>
        <c:noMultiLvlLbl val="0"/>
      </c:catAx>
      <c:valAx>
        <c:axId val="752696904"/>
        <c:scaling>
          <c:orientation val="minMax"/>
          <c:max val="145"/>
          <c:min val="60"/>
        </c:scaling>
        <c:delete val="0"/>
        <c:axPos val="l"/>
        <c:majorGridlines>
          <c:spPr>
            <a:ln w="9525" cap="flat" cmpd="sng" algn="ctr">
              <a:solidFill>
                <a:schemeClr val="tx1">
                  <a:lumMod val="15000"/>
                  <a:lumOff val="85000"/>
                </a:schemeClr>
              </a:solidFill>
              <a:round/>
            </a:ln>
            <a:effectLst/>
          </c:spPr>
        </c:majorGridlines>
        <c:title>
          <c:tx>
            <c:rich>
              <a:bodyPr/>
              <a:lstStyle/>
              <a:p>
                <a:pPr>
                  <a:defRPr sz="900">
                    <a:solidFill>
                      <a:schemeClr val="tx1">
                        <a:lumMod val="65000"/>
                        <a:lumOff val="35000"/>
                      </a:schemeClr>
                    </a:solidFill>
                  </a:defRPr>
                </a:pPr>
                <a:r>
                  <a:rPr lang="nl-BE" sz="900">
                    <a:solidFill>
                      <a:schemeClr val="tx1">
                        <a:lumMod val="65000"/>
                        <a:lumOff val="35000"/>
                      </a:schemeClr>
                    </a:solidFill>
                  </a:rPr>
                  <a:t>[TWh]</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52692968"/>
        <c:crosses val="autoZero"/>
        <c:crossBetween val="between"/>
      </c:valAx>
    </c:plotArea>
    <c:legend>
      <c:legendPos val="b"/>
      <c:legendEntry>
        <c:idx val="0"/>
        <c:delete val="1"/>
      </c:legendEntry>
      <c:legendEntry>
        <c:idx val="1"/>
        <c:delete val="1"/>
      </c:legendEntry>
      <c:overlay val="0"/>
    </c:legend>
    <c:plotVisOnly val="1"/>
    <c:dispBlanksAs val="span"/>
    <c:showDLblsOverMax val="0"/>
  </c:chart>
  <c:spPr>
    <a:ln>
      <a:noFill/>
    </a:ln>
  </c:spPr>
  <c:txPr>
    <a:bodyPr/>
    <a:lstStyle/>
    <a:p>
      <a:pPr>
        <a:defRPr/>
      </a:pPr>
      <a:endParaRPr lang="nl-B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12591754706347E-2"/>
          <c:y val="0.11418277914334017"/>
          <c:w val="0.8351269829814133"/>
          <c:h val="0.68575910195051548"/>
        </c:manualLayout>
      </c:layout>
      <c:barChart>
        <c:barDir val="col"/>
        <c:grouping val="stacked"/>
        <c:varyColors val="0"/>
        <c:ser>
          <c:idx val="0"/>
          <c:order val="0"/>
          <c:tx>
            <c:strRef>
              <c:f>'2.1. Tot. elec. demand'!$E$64</c:f>
              <c:strCache>
                <c:ptCount val="1"/>
                <c:pt idx="0">
                  <c:v>BEV</c:v>
                </c:pt>
              </c:strCache>
            </c:strRef>
          </c:tx>
          <c:spPr>
            <a:solidFill>
              <a:schemeClr val="accent1">
                <a:lumMod val="40000"/>
                <a:lumOff val="60000"/>
              </a:schemeClr>
            </a:solidFill>
            <a:ln>
              <a:noFill/>
            </a:ln>
            <a:effectLst/>
          </c:spPr>
          <c:invertIfNegative val="0"/>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demand'!$E$65:$E$79</c:f>
              <c:numCache>
                <c:formatCode>0.00</c:formatCode>
                <c:ptCount val="15"/>
                <c:pt idx="0" formatCode="0.000">
                  <c:v>0.05</c:v>
                </c:pt>
                <c:pt idx="1">
                  <c:v>0.08</c:v>
                </c:pt>
                <c:pt idx="2">
                  <c:v>0.14000000000000001</c:v>
                </c:pt>
                <c:pt idx="3">
                  <c:v>0.23</c:v>
                </c:pt>
                <c:pt idx="4">
                  <c:v>0.38</c:v>
                </c:pt>
                <c:pt idx="5">
                  <c:v>0.62</c:v>
                </c:pt>
                <c:pt idx="6">
                  <c:v>0.86</c:v>
                </c:pt>
                <c:pt idx="7">
                  <c:v>1.1200000000000001</c:v>
                </c:pt>
                <c:pt idx="8">
                  <c:v>1.39</c:v>
                </c:pt>
                <c:pt idx="9">
                  <c:v>1.59</c:v>
                </c:pt>
                <c:pt idx="10">
                  <c:v>1.78</c:v>
                </c:pt>
                <c:pt idx="11">
                  <c:v>1.96</c:v>
                </c:pt>
                <c:pt idx="12">
                  <c:v>2.15</c:v>
                </c:pt>
                <c:pt idx="13">
                  <c:v>2.34</c:v>
                </c:pt>
                <c:pt idx="14">
                  <c:v>2.52</c:v>
                </c:pt>
              </c:numCache>
            </c:numRef>
          </c:val>
          <c:extLst>
            <c:ext xmlns:c16="http://schemas.microsoft.com/office/drawing/2014/chart" uri="{C3380CC4-5D6E-409C-BE32-E72D297353CC}">
              <c16:uniqueId val="{00000000-08F8-48E3-89F9-6BBAFBC8CE56}"/>
            </c:ext>
          </c:extLst>
        </c:ser>
        <c:ser>
          <c:idx val="1"/>
          <c:order val="2"/>
          <c:tx>
            <c:strRef>
              <c:f>'2.1. Tot. elec. demand'!$F$64</c:f>
              <c:strCache>
                <c:ptCount val="1"/>
                <c:pt idx="0">
                  <c:v>PHEV</c:v>
                </c:pt>
              </c:strCache>
            </c:strRef>
          </c:tx>
          <c:spPr>
            <a:solidFill>
              <a:schemeClr val="accent6">
                <a:lumMod val="40000"/>
                <a:lumOff val="60000"/>
              </a:schemeClr>
            </a:solidFill>
            <a:ln>
              <a:noFill/>
            </a:ln>
            <a:effectLst/>
          </c:spPr>
          <c:invertIfNegative val="0"/>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demand'!$F$65:$F$79</c:f>
              <c:numCache>
                <c:formatCode>0.00</c:formatCode>
                <c:ptCount val="15"/>
                <c:pt idx="0" formatCode="0.000">
                  <c:v>0.12</c:v>
                </c:pt>
                <c:pt idx="1">
                  <c:v>0.17</c:v>
                </c:pt>
                <c:pt idx="2">
                  <c:v>0.25</c:v>
                </c:pt>
                <c:pt idx="3">
                  <c:v>0.34</c:v>
                </c:pt>
                <c:pt idx="4">
                  <c:v>0.42</c:v>
                </c:pt>
                <c:pt idx="5">
                  <c:v>0.44</c:v>
                </c:pt>
                <c:pt idx="6">
                  <c:v>0.44</c:v>
                </c:pt>
                <c:pt idx="7">
                  <c:v>0.42</c:v>
                </c:pt>
                <c:pt idx="8">
                  <c:v>0.38</c:v>
                </c:pt>
                <c:pt idx="9">
                  <c:v>0.32</c:v>
                </c:pt>
                <c:pt idx="10">
                  <c:v>0.27</c:v>
                </c:pt>
                <c:pt idx="11">
                  <c:v>0.23</c:v>
                </c:pt>
                <c:pt idx="12">
                  <c:v>0.2</c:v>
                </c:pt>
                <c:pt idx="13">
                  <c:v>0.17</c:v>
                </c:pt>
                <c:pt idx="14">
                  <c:v>0.14000000000000001</c:v>
                </c:pt>
              </c:numCache>
            </c:numRef>
          </c:val>
          <c:extLst>
            <c:ext xmlns:c16="http://schemas.microsoft.com/office/drawing/2014/chart" uri="{C3380CC4-5D6E-409C-BE32-E72D297353CC}">
              <c16:uniqueId val="{00000001-08F8-48E3-89F9-6BBAFBC8CE56}"/>
            </c:ext>
          </c:extLst>
        </c:ser>
        <c:dLbls>
          <c:showLegendKey val="0"/>
          <c:showVal val="0"/>
          <c:showCatName val="0"/>
          <c:showSerName val="0"/>
          <c:showPercent val="0"/>
          <c:showBubbleSize val="0"/>
        </c:dLbls>
        <c:gapWidth val="219"/>
        <c:overlap val="100"/>
        <c:axId val="831915352"/>
        <c:axId val="831918632"/>
      </c:barChart>
      <c:lineChart>
        <c:grouping val="standard"/>
        <c:varyColors val="0"/>
        <c:ser>
          <c:idx val="2"/>
          <c:order val="1"/>
          <c:tx>
            <c:strRef>
              <c:f>'2.1. Tot. elec. demand'!$G$64</c:f>
              <c:strCache>
                <c:ptCount val="1"/>
                <c:pt idx="0">
                  <c:v>Equivalent Units (PHEV counted as 1/2)</c:v>
                </c:pt>
              </c:strCache>
            </c:strRef>
          </c:tx>
          <c:spPr>
            <a:ln w="28575" cap="rnd">
              <a:solidFill>
                <a:schemeClr val="tx1"/>
              </a:solidFill>
              <a:round/>
            </a:ln>
            <a:effectLst/>
          </c:spPr>
          <c:marker>
            <c:symbol val="circle"/>
            <c:size val="5"/>
            <c:spPr>
              <a:solidFill>
                <a:schemeClr val="accent3"/>
              </a:solidFill>
              <a:ln w="9525">
                <a:solidFill>
                  <a:schemeClr val="tx1"/>
                </a:solidFill>
              </a:ln>
              <a:effectLst/>
            </c:spPr>
          </c:marker>
          <c:cat>
            <c:numRef>
              <c:f>'2.1. Tot. elec. demand'!$C$65:$C$77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'2.1. Tot. elec. demand'!$G$65:$G$79</c:f>
              <c:numCache>
                <c:formatCode>0.00</c:formatCode>
                <c:ptCount val="15"/>
                <c:pt idx="0">
                  <c:v>0.11</c:v>
                </c:pt>
                <c:pt idx="1">
                  <c:v>0.17</c:v>
                </c:pt>
                <c:pt idx="2">
                  <c:v>0.26</c:v>
                </c:pt>
                <c:pt idx="3">
                  <c:v>0.4</c:v>
                </c:pt>
                <c:pt idx="4">
                  <c:v>0.59</c:v>
                </c:pt>
                <c:pt idx="5">
                  <c:v>0.84</c:v>
                </c:pt>
                <c:pt idx="6">
                  <c:v>1.08</c:v>
                </c:pt>
                <c:pt idx="7">
                  <c:v>1.33</c:v>
                </c:pt>
                <c:pt idx="8">
                  <c:v>1.58</c:v>
                </c:pt>
                <c:pt idx="9">
                  <c:v>1.75</c:v>
                </c:pt>
                <c:pt idx="10">
                  <c:v>1.91</c:v>
                </c:pt>
                <c:pt idx="11">
                  <c:v>2.08</c:v>
                </c:pt>
                <c:pt idx="12">
                  <c:v>2.25</c:v>
                </c:pt>
                <c:pt idx="13">
                  <c:v>2.42</c:v>
                </c:pt>
                <c:pt idx="14">
                  <c:v>2.59</c:v>
                </c:pt>
              </c:numCache>
            </c:numRef>
          </c:val>
          <c:smooth val="0"/>
          <c:extLst>
            <c:ext xmlns:c16="http://schemas.microsoft.com/office/drawing/2014/chart" uri="{C3380CC4-5D6E-409C-BE32-E72D297353CC}">
              <c16:uniqueId val="{00000002-08F8-48E3-89F9-6BBAFBC8CE56}"/>
            </c:ext>
          </c:extLst>
        </c:ser>
        <c:dLbls>
          <c:showLegendKey val="0"/>
          <c:showVal val="0"/>
          <c:showCatName val="0"/>
          <c:showSerName val="0"/>
          <c:showPercent val="0"/>
          <c:showBubbleSize val="0"/>
        </c:dLbls>
        <c:marker val="1"/>
        <c:smooth val="0"/>
        <c:axId val="831915352"/>
        <c:axId val="831918632"/>
      </c:lineChart>
      <c:lineChart>
        <c:grouping val="standard"/>
        <c:varyColors val="0"/>
        <c:ser>
          <c:idx val="3"/>
          <c:order val="3"/>
          <c:tx>
            <c:strRef>
              <c:f>'2.1. Tot. elec. demand'!$H$64</c:f>
              <c:strCache>
                <c:ptCount val="1"/>
                <c:pt idx="0">
                  <c:v>equivalent % of stock</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demand'!$H$65:$H$79</c:f>
              <c:numCache>
                <c:formatCode>0%</c:formatCode>
                <c:ptCount val="15"/>
                <c:pt idx="0">
                  <c:v>0.02</c:v>
                </c:pt>
                <c:pt idx="1">
                  <c:v>0.03</c:v>
                </c:pt>
                <c:pt idx="2">
                  <c:v>0.05</c:v>
                </c:pt>
                <c:pt idx="3">
                  <c:v>7.0000000000000007E-2</c:v>
                </c:pt>
                <c:pt idx="4">
                  <c:v>0.1</c:v>
                </c:pt>
                <c:pt idx="5">
                  <c:v>0.15</c:v>
                </c:pt>
                <c:pt idx="6">
                  <c:v>0.19</c:v>
                </c:pt>
                <c:pt idx="7">
                  <c:v>0.24</c:v>
                </c:pt>
                <c:pt idx="8">
                  <c:v>0.28000000000000003</c:v>
                </c:pt>
                <c:pt idx="9">
                  <c:v>0.32</c:v>
                </c:pt>
                <c:pt idx="10">
                  <c:v>0.35</c:v>
                </c:pt>
                <c:pt idx="11">
                  <c:v>0.38</c:v>
                </c:pt>
                <c:pt idx="12">
                  <c:v>0.41</c:v>
                </c:pt>
                <c:pt idx="13">
                  <c:v>0.44</c:v>
                </c:pt>
                <c:pt idx="14">
                  <c:v>0.48</c:v>
                </c:pt>
              </c:numCache>
            </c:numRef>
          </c:val>
          <c:smooth val="0"/>
          <c:extLst>
            <c:ext xmlns:c16="http://schemas.microsoft.com/office/drawing/2014/chart" uri="{C3380CC4-5D6E-409C-BE32-E72D297353CC}">
              <c16:uniqueId val="{00000003-08F8-48E3-89F9-6BBAFBC8CE56}"/>
            </c:ext>
          </c:extLst>
        </c:ser>
        <c:dLbls>
          <c:showLegendKey val="0"/>
          <c:showVal val="0"/>
          <c:showCatName val="0"/>
          <c:showSerName val="0"/>
          <c:showPercent val="0"/>
          <c:showBubbleSize val="0"/>
        </c:dLbls>
        <c:marker val="1"/>
        <c:smooth val="0"/>
        <c:axId val="838964832"/>
        <c:axId val="838967128"/>
      </c:lineChart>
      <c:catAx>
        <c:axId val="83191535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nl-BE" sz="900" b="1"/>
                  <a:t>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8632"/>
        <c:crosses val="autoZero"/>
        <c:auto val="1"/>
        <c:lblAlgn val="ctr"/>
        <c:lblOffset val="100"/>
        <c:noMultiLvlLbl val="0"/>
      </c:catAx>
      <c:valAx>
        <c:axId val="831918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 EV [Mio]</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5352"/>
        <c:crosses val="autoZero"/>
        <c:crossBetween val="between"/>
      </c:valAx>
      <c:valAx>
        <c:axId val="838967128"/>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Share of Stock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8964832"/>
        <c:crosses val="max"/>
        <c:crossBetween val="between"/>
      </c:valAx>
      <c:catAx>
        <c:axId val="838964832"/>
        <c:scaling>
          <c:orientation val="minMax"/>
        </c:scaling>
        <c:delete val="1"/>
        <c:axPos val="b"/>
        <c:numFmt formatCode="General" sourceLinked="1"/>
        <c:majorTickMark val="out"/>
        <c:minorTickMark val="none"/>
        <c:tickLblPos val="nextTo"/>
        <c:crossAx val="838967128"/>
        <c:crosses val="autoZero"/>
        <c:auto val="1"/>
        <c:lblAlgn val="ctr"/>
        <c:lblOffset val="100"/>
        <c:noMultiLvlLbl val="0"/>
      </c:catAx>
      <c:spPr>
        <a:noFill/>
        <a:ln>
          <a:noFill/>
        </a:ln>
        <a:effectLst/>
      </c:spPr>
    </c:plotArea>
    <c:legend>
      <c:legendPos val="b"/>
      <c:layout>
        <c:manualLayout>
          <c:xMode val="edge"/>
          <c:yMode val="edge"/>
          <c:x val="0.17625978091206398"/>
          <c:y val="0.92302809133980135"/>
          <c:w val="0.6600411248170579"/>
          <c:h val="7.475135375519921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209855183489768E-2"/>
          <c:y val="0.11418277914334017"/>
          <c:w val="0.86009195759941981"/>
          <c:h val="0.68575910195051548"/>
        </c:manualLayout>
      </c:layout>
      <c:barChart>
        <c:barDir val="col"/>
        <c:grouping val="stacked"/>
        <c:varyColors val="0"/>
        <c:ser>
          <c:idx val="0"/>
          <c:order val="0"/>
          <c:tx>
            <c:strRef>
              <c:f>'2.1. Tot. elec. demand'!$E$64</c:f>
              <c:strCache>
                <c:ptCount val="1"/>
                <c:pt idx="0">
                  <c:v>BEV</c:v>
                </c:pt>
              </c:strCache>
            </c:strRef>
          </c:tx>
          <c:spPr>
            <a:solidFill>
              <a:schemeClr val="accent1">
                <a:lumMod val="40000"/>
                <a:lumOff val="60000"/>
              </a:schemeClr>
            </a:solidFill>
            <a:ln>
              <a:noFill/>
            </a:ln>
            <a:effectLst/>
          </c:spPr>
          <c:invertIfNegative val="0"/>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demand'!$E$94:$E$108</c:f>
              <c:numCache>
                <c:formatCode>0</c:formatCode>
                <c:ptCount val="15"/>
                <c:pt idx="0">
                  <c:v>3.12</c:v>
                </c:pt>
                <c:pt idx="1">
                  <c:v>6.19</c:v>
                </c:pt>
                <c:pt idx="2">
                  <c:v>10.75</c:v>
                </c:pt>
                <c:pt idx="3">
                  <c:v>17.649999999999999</c:v>
                </c:pt>
                <c:pt idx="4">
                  <c:v>27.94</c:v>
                </c:pt>
                <c:pt idx="5">
                  <c:v>42.83</c:v>
                </c:pt>
                <c:pt idx="6">
                  <c:v>63.43</c:v>
                </c:pt>
                <c:pt idx="7">
                  <c:v>90.29</c:v>
                </c:pt>
                <c:pt idx="8">
                  <c:v>123.09</c:v>
                </c:pt>
                <c:pt idx="9">
                  <c:v>160.69999999999999</c:v>
                </c:pt>
                <c:pt idx="10">
                  <c:v>201.56</c:v>
                </c:pt>
                <c:pt idx="11">
                  <c:v>244.07</c:v>
                </c:pt>
                <c:pt idx="12">
                  <c:v>286.95</c:v>
                </c:pt>
                <c:pt idx="13">
                  <c:v>329.28</c:v>
                </c:pt>
                <c:pt idx="14">
                  <c:v>371.81</c:v>
                </c:pt>
              </c:numCache>
            </c:numRef>
          </c:val>
          <c:extLst>
            <c:ext xmlns:c16="http://schemas.microsoft.com/office/drawing/2014/chart" uri="{C3380CC4-5D6E-409C-BE32-E72D297353CC}">
              <c16:uniqueId val="{00000000-DF74-4833-8D52-0486B1BAFFA8}"/>
            </c:ext>
          </c:extLst>
        </c:ser>
        <c:ser>
          <c:idx val="1"/>
          <c:order val="2"/>
          <c:tx>
            <c:strRef>
              <c:f>'2.1. Tot. elec. demand'!$F$64</c:f>
              <c:strCache>
                <c:ptCount val="1"/>
                <c:pt idx="0">
                  <c:v>PHEV</c:v>
                </c:pt>
              </c:strCache>
            </c:strRef>
          </c:tx>
          <c:spPr>
            <a:solidFill>
              <a:schemeClr val="accent6">
                <a:lumMod val="40000"/>
                <a:lumOff val="60000"/>
              </a:schemeClr>
            </a:solidFill>
            <a:ln>
              <a:noFill/>
            </a:ln>
            <a:effectLst/>
          </c:spPr>
          <c:invertIfNegative val="0"/>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demand'!$F$94:$F$108</c:f>
              <c:numCache>
                <c:formatCode>0</c:formatCode>
                <c:ptCount val="15"/>
                <c:pt idx="0">
                  <c:v>0.78</c:v>
                </c:pt>
                <c:pt idx="1">
                  <c:v>2.0499999999999998</c:v>
                </c:pt>
                <c:pt idx="2">
                  <c:v>4.03</c:v>
                </c:pt>
                <c:pt idx="3">
                  <c:v>6.85</c:v>
                </c:pt>
                <c:pt idx="4">
                  <c:v>10.48</c:v>
                </c:pt>
                <c:pt idx="5">
                  <c:v>14.69</c:v>
                </c:pt>
                <c:pt idx="6">
                  <c:v>19.23</c:v>
                </c:pt>
                <c:pt idx="7">
                  <c:v>23.86</c:v>
                </c:pt>
                <c:pt idx="8">
                  <c:v>28.43</c:v>
                </c:pt>
                <c:pt idx="9">
                  <c:v>32.94</c:v>
                </c:pt>
                <c:pt idx="10">
                  <c:v>36.049999999999997</c:v>
                </c:pt>
                <c:pt idx="11">
                  <c:v>37.75</c:v>
                </c:pt>
                <c:pt idx="12">
                  <c:v>38.14</c:v>
                </c:pt>
                <c:pt idx="13">
                  <c:v>37.57</c:v>
                </c:pt>
                <c:pt idx="14">
                  <c:v>35.54</c:v>
                </c:pt>
              </c:numCache>
            </c:numRef>
          </c:val>
          <c:extLst>
            <c:ext xmlns:c16="http://schemas.microsoft.com/office/drawing/2014/chart" uri="{C3380CC4-5D6E-409C-BE32-E72D297353CC}">
              <c16:uniqueId val="{00000001-DF74-4833-8D52-0486B1BAFFA8}"/>
            </c:ext>
          </c:extLst>
        </c:ser>
        <c:dLbls>
          <c:showLegendKey val="0"/>
          <c:showVal val="0"/>
          <c:showCatName val="0"/>
          <c:showSerName val="0"/>
          <c:showPercent val="0"/>
          <c:showBubbleSize val="0"/>
        </c:dLbls>
        <c:gapWidth val="219"/>
        <c:overlap val="100"/>
        <c:axId val="831915352"/>
        <c:axId val="831918632"/>
      </c:barChart>
      <c:lineChart>
        <c:grouping val="standard"/>
        <c:varyColors val="0"/>
        <c:ser>
          <c:idx val="2"/>
          <c:order val="1"/>
          <c:tx>
            <c:strRef>
              <c:f>'2.1. Tot. elec. demand'!$G$64</c:f>
              <c:strCache>
                <c:ptCount val="1"/>
                <c:pt idx="0">
                  <c:v>Equivalent Units (PHEV counted as 1/2)</c:v>
                </c:pt>
              </c:strCache>
            </c:strRef>
          </c:tx>
          <c:spPr>
            <a:ln w="28575" cap="rnd">
              <a:solidFill>
                <a:schemeClr val="tx1"/>
              </a:solidFill>
              <a:round/>
            </a:ln>
            <a:effectLst/>
          </c:spPr>
          <c:marker>
            <c:symbol val="circle"/>
            <c:size val="5"/>
            <c:spPr>
              <a:solidFill>
                <a:schemeClr val="accent3"/>
              </a:solidFill>
              <a:ln w="9525">
                <a:solidFill>
                  <a:schemeClr val="tx1"/>
                </a:solidFill>
              </a:ln>
              <a:effectLst/>
            </c:spPr>
          </c:marker>
          <c:cat>
            <c:numRef>
              <c:f>'2.1. Tot. elec. demand'!$C$65:$C$77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'2.1. Tot. elec. demand'!$G$94:$G$108</c:f>
              <c:numCache>
                <c:formatCode>0</c:formatCode>
                <c:ptCount val="15"/>
                <c:pt idx="0">
                  <c:v>3.51</c:v>
                </c:pt>
                <c:pt idx="1">
                  <c:v>7.21</c:v>
                </c:pt>
                <c:pt idx="2">
                  <c:v>12.77</c:v>
                </c:pt>
                <c:pt idx="3">
                  <c:v>21.07</c:v>
                </c:pt>
                <c:pt idx="4">
                  <c:v>33.17</c:v>
                </c:pt>
                <c:pt idx="5">
                  <c:v>50.18</c:v>
                </c:pt>
                <c:pt idx="6">
                  <c:v>73.05</c:v>
                </c:pt>
                <c:pt idx="7">
                  <c:v>102.22</c:v>
                </c:pt>
                <c:pt idx="8">
                  <c:v>137.30000000000001</c:v>
                </c:pt>
                <c:pt idx="9">
                  <c:v>177.17</c:v>
                </c:pt>
                <c:pt idx="10">
                  <c:v>219.58</c:v>
                </c:pt>
                <c:pt idx="11">
                  <c:v>262.95</c:v>
                </c:pt>
                <c:pt idx="12">
                  <c:v>306.02</c:v>
                </c:pt>
                <c:pt idx="13">
                  <c:v>348.06</c:v>
                </c:pt>
                <c:pt idx="14">
                  <c:v>389.58</c:v>
                </c:pt>
              </c:numCache>
            </c:numRef>
          </c:val>
          <c:smooth val="0"/>
          <c:extLst>
            <c:ext xmlns:c16="http://schemas.microsoft.com/office/drawing/2014/chart" uri="{C3380CC4-5D6E-409C-BE32-E72D297353CC}">
              <c16:uniqueId val="{00000002-DF74-4833-8D52-0486B1BAFFA8}"/>
            </c:ext>
          </c:extLst>
        </c:ser>
        <c:dLbls>
          <c:showLegendKey val="0"/>
          <c:showVal val="0"/>
          <c:showCatName val="0"/>
          <c:showSerName val="0"/>
          <c:showPercent val="0"/>
          <c:showBubbleSize val="0"/>
        </c:dLbls>
        <c:marker val="1"/>
        <c:smooth val="0"/>
        <c:axId val="831915352"/>
        <c:axId val="831918632"/>
      </c:lineChart>
      <c:lineChart>
        <c:grouping val="standard"/>
        <c:varyColors val="0"/>
        <c:ser>
          <c:idx val="3"/>
          <c:order val="3"/>
          <c:tx>
            <c:strRef>
              <c:f>'2.1. Tot. elec. demand'!$H$93</c:f>
              <c:strCache>
                <c:ptCount val="1"/>
                <c:pt idx="0">
                  <c:v>equivalent % of stock</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'2.1. Tot. elec. demand'!$C$65:$C$79</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cat>
          <c:val>
            <c:numRef>
              <c:f>'2.1. Tot. elec. demand'!$H$94:$H$108</c:f>
              <c:numCache>
                <c:formatCode>0%</c:formatCode>
                <c:ptCount val="15"/>
                <c:pt idx="0">
                  <c:v>0</c:v>
                </c:pt>
                <c:pt idx="1">
                  <c:v>0.01</c:v>
                </c:pt>
                <c:pt idx="2">
                  <c:v>0.01</c:v>
                </c:pt>
                <c:pt idx="3">
                  <c:v>0.02</c:v>
                </c:pt>
                <c:pt idx="4">
                  <c:v>0.04</c:v>
                </c:pt>
                <c:pt idx="5">
                  <c:v>0.06</c:v>
                </c:pt>
                <c:pt idx="6">
                  <c:v>0.08</c:v>
                </c:pt>
                <c:pt idx="7">
                  <c:v>0.11</c:v>
                </c:pt>
                <c:pt idx="8">
                  <c:v>0.15</c:v>
                </c:pt>
                <c:pt idx="9">
                  <c:v>0.19</c:v>
                </c:pt>
                <c:pt idx="10">
                  <c:v>0.23</c:v>
                </c:pt>
                <c:pt idx="11">
                  <c:v>0.28000000000000003</c:v>
                </c:pt>
                <c:pt idx="12">
                  <c:v>0.32</c:v>
                </c:pt>
                <c:pt idx="13">
                  <c:v>0.36</c:v>
                </c:pt>
                <c:pt idx="14">
                  <c:v>0.4</c:v>
                </c:pt>
              </c:numCache>
            </c:numRef>
          </c:val>
          <c:smooth val="0"/>
          <c:extLst>
            <c:ext xmlns:c16="http://schemas.microsoft.com/office/drawing/2014/chart" uri="{C3380CC4-5D6E-409C-BE32-E72D297353CC}">
              <c16:uniqueId val="{00000003-DF74-4833-8D52-0486B1BAFFA8}"/>
            </c:ext>
          </c:extLst>
        </c:ser>
        <c:dLbls>
          <c:showLegendKey val="0"/>
          <c:showVal val="0"/>
          <c:showCatName val="0"/>
          <c:showSerName val="0"/>
          <c:showPercent val="0"/>
          <c:showBubbleSize val="0"/>
        </c:dLbls>
        <c:marker val="1"/>
        <c:smooth val="0"/>
        <c:axId val="779361344"/>
        <c:axId val="779359704"/>
      </c:lineChart>
      <c:catAx>
        <c:axId val="83191535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nl-BE" sz="900" b="1"/>
                  <a:t>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8632"/>
        <c:crosses val="autoZero"/>
        <c:auto val="1"/>
        <c:lblAlgn val="ctr"/>
        <c:lblOffset val="100"/>
        <c:noMultiLvlLbl val="0"/>
      </c:catAx>
      <c:valAx>
        <c:axId val="831918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 EV [k]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831915352"/>
        <c:crosses val="autoZero"/>
        <c:crossBetween val="between"/>
      </c:valAx>
      <c:valAx>
        <c:axId val="779359704"/>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Share of Stock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79361344"/>
        <c:crosses val="max"/>
        <c:crossBetween val="between"/>
      </c:valAx>
      <c:catAx>
        <c:axId val="779361344"/>
        <c:scaling>
          <c:orientation val="minMax"/>
        </c:scaling>
        <c:delete val="1"/>
        <c:axPos val="b"/>
        <c:numFmt formatCode="General" sourceLinked="1"/>
        <c:majorTickMark val="out"/>
        <c:minorTickMark val="none"/>
        <c:tickLblPos val="nextTo"/>
        <c:crossAx val="779359704"/>
        <c:crosses val="autoZero"/>
        <c:auto val="1"/>
        <c:lblAlgn val="ctr"/>
        <c:lblOffset val="100"/>
        <c:noMultiLvlLbl val="0"/>
      </c:catAx>
      <c:spPr>
        <a:noFill/>
        <a:ln>
          <a:noFill/>
        </a:ln>
        <a:effectLst/>
      </c:spPr>
    </c:plotArea>
    <c:legend>
      <c:legendPos val="b"/>
      <c:layout>
        <c:manualLayout>
          <c:xMode val="edge"/>
          <c:yMode val="edge"/>
          <c:x val="0.17625978091206398"/>
          <c:y val="0.92302809133980135"/>
          <c:w val="0.6600411248170579"/>
          <c:h val="7.211586509325490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withinLinear" id="18">
  <a:schemeClr val="accent5"/>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hyperlink" Target="#Contents!A1"/><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image" Target="../media/image2.png"/><Relationship Id="rId7" Type="http://schemas.openxmlformats.org/officeDocument/2006/relationships/chart" Target="../charts/chart5.xml"/><Relationship Id="rId2" Type="http://schemas.openxmlformats.org/officeDocument/2006/relationships/hyperlink" Target="#Contents!A1"/><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image" Target="../media/image2.png"/><Relationship Id="rId1" Type="http://schemas.openxmlformats.org/officeDocument/2006/relationships/hyperlink" Target="#Contents!A1"/><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ts!A1"/><Relationship Id="rId1" Type="http://schemas.openxmlformats.org/officeDocument/2006/relationships/chart" Target="../charts/chart16.xml"/><Relationship Id="rId4" Type="http://schemas.openxmlformats.org/officeDocument/2006/relationships/chart" Target="../charts/chart1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7" Type="http://schemas.openxmlformats.org/officeDocument/2006/relationships/chart" Target="../charts/chart22.xml"/><Relationship Id="rId2" Type="http://schemas.openxmlformats.org/officeDocument/2006/relationships/image" Target="../media/image2.png"/><Relationship Id="rId1" Type="http://schemas.openxmlformats.org/officeDocument/2006/relationships/hyperlink" Target="#Contents!A1"/><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ts!A1"/><Relationship Id="rId1" Type="http://schemas.openxmlformats.org/officeDocument/2006/relationships/chart" Target="../charts/chart23.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0</xdr:row>
      <xdr:rowOff>95252</xdr:rowOff>
    </xdr:from>
    <xdr:to>
      <xdr:col>4</xdr:col>
      <xdr:colOff>1108983</xdr:colOff>
      <xdr:row>4</xdr:row>
      <xdr:rowOff>134976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401" y="95252"/>
          <a:ext cx="2627200" cy="89969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0.08761</cdr:x>
      <cdr:y>0.85698</cdr:y>
    </cdr:from>
    <cdr:to>
      <cdr:x>0.33769</cdr:x>
      <cdr:y>0.99177</cdr:y>
    </cdr:to>
    <cdr:sp macro="" textlink="">
      <cdr:nvSpPr>
        <cdr:cNvPr id="2" name="TextBox 1"/>
        <cdr:cNvSpPr txBox="1"/>
      </cdr:nvSpPr>
      <cdr:spPr>
        <a:xfrm xmlns:a="http://schemas.openxmlformats.org/drawingml/2006/main">
          <a:off x="1013488" y="2996345"/>
          <a:ext cx="2893218" cy="471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l-BE" sz="1100"/>
            <a:t>* for the UK,</a:t>
          </a:r>
          <a:r>
            <a:rPr lang="nl-BE" sz="1100" baseline="0"/>
            <a:t> no forward were found, hence an interpolation to the WEO values </a:t>
          </a:r>
          <a:r>
            <a:rPr lang="nl-BE" sz="1100" baseline="0">
              <a:effectLst/>
              <a:latin typeface="+mn-lt"/>
              <a:ea typeface="+mn-ea"/>
              <a:cs typeface="+mn-cs"/>
            </a:rPr>
            <a:t>was used </a:t>
          </a:r>
          <a:r>
            <a:rPr lang="nl-BE" sz="1100" baseline="0"/>
            <a:t>.</a:t>
          </a:r>
          <a:endParaRPr lang="nl-BE" sz="1100"/>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2</xdr:col>
      <xdr:colOff>183572</xdr:colOff>
      <xdr:row>1</xdr:row>
      <xdr:rowOff>13263</xdr:rowOff>
    </xdr:from>
    <xdr:to>
      <xdr:col>2</xdr:col>
      <xdr:colOff>432281</xdr:colOff>
      <xdr:row>1</xdr:row>
      <xdr:rowOff>296330</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45872" y="203763"/>
          <a:ext cx="248709" cy="28306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1714719</xdr:colOff>
      <xdr:row>0</xdr:row>
      <xdr:rowOff>176772</xdr:rowOff>
    </xdr:from>
    <xdr:to>
      <xdr:col>2</xdr:col>
      <xdr:colOff>1963428</xdr:colOff>
      <xdr:row>1</xdr:row>
      <xdr:rowOff>274351</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31563" y="176772"/>
          <a:ext cx="248709" cy="28807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1000125</xdr:colOff>
      <xdr:row>0</xdr:row>
      <xdr:rowOff>166687</xdr:rowOff>
    </xdr:from>
    <xdr:to>
      <xdr:col>2</xdr:col>
      <xdr:colOff>1248834</xdr:colOff>
      <xdr:row>1</xdr:row>
      <xdr:rowOff>262025</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02844" y="166687"/>
          <a:ext cx="248709" cy="285838"/>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2</xdr:col>
      <xdr:colOff>846023</xdr:colOff>
      <xdr:row>1</xdr:row>
      <xdr:rowOff>2078</xdr:rowOff>
    </xdr:from>
    <xdr:ext cx="247650" cy="250976"/>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03461" y="192578"/>
          <a:ext cx="247650" cy="250976"/>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2</xdr:col>
      <xdr:colOff>840921</xdr:colOff>
      <xdr:row>1</xdr:row>
      <xdr:rowOff>17387</xdr:rowOff>
    </xdr:from>
    <xdr:to>
      <xdr:col>2</xdr:col>
      <xdr:colOff>1088571</xdr:colOff>
      <xdr:row>1</xdr:row>
      <xdr:rowOff>268363</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94957" y="207887"/>
          <a:ext cx="247650" cy="250976"/>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517072</xdr:colOff>
      <xdr:row>12</xdr:row>
      <xdr:rowOff>163287</xdr:rowOff>
    </xdr:from>
    <xdr:to>
      <xdr:col>1</xdr:col>
      <xdr:colOff>1504710</xdr:colOff>
      <xdr:row>17</xdr:row>
      <xdr:rowOff>178721</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3"/>
        <a:stretch>
          <a:fillRect/>
        </a:stretch>
      </xdr:blipFill>
      <xdr:spPr>
        <a:xfrm>
          <a:off x="707572" y="2653394"/>
          <a:ext cx="987638" cy="981541"/>
        </a:xfrm>
        <a:prstGeom prst="rect">
          <a:avLst/>
        </a:prstGeom>
      </xdr:spPr>
    </xdr:pic>
    <xdr:clientData/>
  </xdr:twoCellAnchor>
  <xdr:twoCellAnchor editAs="oneCell">
    <xdr:from>
      <xdr:col>1</xdr:col>
      <xdr:colOff>517072</xdr:colOff>
      <xdr:row>22</xdr:row>
      <xdr:rowOff>161343</xdr:rowOff>
    </xdr:from>
    <xdr:to>
      <xdr:col>1</xdr:col>
      <xdr:colOff>1504710</xdr:colOff>
      <xdr:row>27</xdr:row>
      <xdr:rowOff>176776</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4"/>
        <a:stretch>
          <a:fillRect/>
        </a:stretch>
      </xdr:blipFill>
      <xdr:spPr>
        <a:xfrm>
          <a:off x="707572" y="4678914"/>
          <a:ext cx="987638" cy="981541"/>
        </a:xfrm>
        <a:prstGeom prst="rect">
          <a:avLst/>
        </a:prstGeom>
      </xdr:spPr>
    </xdr:pic>
    <xdr:clientData/>
  </xdr:twoCellAnchor>
  <xdr:twoCellAnchor editAs="oneCell">
    <xdr:from>
      <xdr:col>1</xdr:col>
      <xdr:colOff>517072</xdr:colOff>
      <xdr:row>32</xdr:row>
      <xdr:rowOff>159398</xdr:rowOff>
    </xdr:from>
    <xdr:to>
      <xdr:col>1</xdr:col>
      <xdr:colOff>1504710</xdr:colOff>
      <xdr:row>37</xdr:row>
      <xdr:rowOff>174832</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5"/>
        <a:stretch>
          <a:fillRect/>
        </a:stretch>
      </xdr:blipFill>
      <xdr:spPr>
        <a:xfrm>
          <a:off x="707572" y="6704434"/>
          <a:ext cx="987638" cy="981541"/>
        </a:xfrm>
        <a:prstGeom prst="rect">
          <a:avLst/>
        </a:prstGeom>
      </xdr:spPr>
    </xdr:pic>
    <xdr:clientData/>
  </xdr:twoCellAnchor>
  <xdr:twoCellAnchor editAs="oneCell">
    <xdr:from>
      <xdr:col>1</xdr:col>
      <xdr:colOff>517072</xdr:colOff>
      <xdr:row>42</xdr:row>
      <xdr:rowOff>157454</xdr:rowOff>
    </xdr:from>
    <xdr:to>
      <xdr:col>1</xdr:col>
      <xdr:colOff>1504710</xdr:colOff>
      <xdr:row>47</xdr:row>
      <xdr:rowOff>172888</xdr:rowOff>
    </xdr:to>
    <xdr:pic>
      <xdr:nvPicPr>
        <xdr:cNvPr id="6" name="Picture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6"/>
        <a:stretch>
          <a:fillRect/>
        </a:stretch>
      </xdr:blipFill>
      <xdr:spPr>
        <a:xfrm>
          <a:off x="707572" y="8729954"/>
          <a:ext cx="987638" cy="981541"/>
        </a:xfrm>
        <a:prstGeom prst="rect">
          <a:avLst/>
        </a:prstGeom>
      </xdr:spPr>
    </xdr:pic>
    <xdr:clientData/>
  </xdr:twoCellAnchor>
  <xdr:twoCellAnchor editAs="oneCell">
    <xdr:from>
      <xdr:col>1</xdr:col>
      <xdr:colOff>517072</xdr:colOff>
      <xdr:row>82</xdr:row>
      <xdr:rowOff>149680</xdr:rowOff>
    </xdr:from>
    <xdr:to>
      <xdr:col>1</xdr:col>
      <xdr:colOff>1504710</xdr:colOff>
      <xdr:row>87</xdr:row>
      <xdr:rowOff>165114</xdr:rowOff>
    </xdr:to>
    <xdr:pic>
      <xdr:nvPicPr>
        <xdr:cNvPr id="7" name="Picture 6">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7"/>
        <a:stretch>
          <a:fillRect/>
        </a:stretch>
      </xdr:blipFill>
      <xdr:spPr>
        <a:xfrm>
          <a:off x="707572" y="16832037"/>
          <a:ext cx="987638" cy="981541"/>
        </a:xfrm>
        <a:prstGeom prst="rect">
          <a:avLst/>
        </a:prstGeom>
      </xdr:spPr>
    </xdr:pic>
    <xdr:clientData/>
  </xdr:twoCellAnchor>
  <xdr:twoCellAnchor editAs="oneCell">
    <xdr:from>
      <xdr:col>1</xdr:col>
      <xdr:colOff>517072</xdr:colOff>
      <xdr:row>72</xdr:row>
      <xdr:rowOff>151621</xdr:rowOff>
    </xdr:from>
    <xdr:to>
      <xdr:col>1</xdr:col>
      <xdr:colOff>1504710</xdr:colOff>
      <xdr:row>77</xdr:row>
      <xdr:rowOff>167055</xdr:rowOff>
    </xdr:to>
    <xdr:pic>
      <xdr:nvPicPr>
        <xdr:cNvPr id="8" name="Picture 7">
          <a:extLst>
            <a:ext uri="{FF2B5EF4-FFF2-40B4-BE49-F238E27FC236}">
              <a16:creationId xmlns:a16="http://schemas.microsoft.com/office/drawing/2014/main" id="{00000000-0008-0000-0D00-000008000000}"/>
            </a:ext>
          </a:extLst>
        </xdr:cNvPr>
        <xdr:cNvPicPr>
          <a:picLocks noChangeAspect="1"/>
        </xdr:cNvPicPr>
      </xdr:nvPicPr>
      <xdr:blipFill>
        <a:blip xmlns:r="http://schemas.openxmlformats.org/officeDocument/2006/relationships" r:embed="rId8"/>
        <a:stretch>
          <a:fillRect/>
        </a:stretch>
      </xdr:blipFill>
      <xdr:spPr>
        <a:xfrm>
          <a:off x="707572" y="14806514"/>
          <a:ext cx="987638" cy="981541"/>
        </a:xfrm>
        <a:prstGeom prst="rect">
          <a:avLst/>
        </a:prstGeom>
      </xdr:spPr>
    </xdr:pic>
    <xdr:clientData/>
  </xdr:twoCellAnchor>
  <xdr:twoCellAnchor editAs="oneCell">
    <xdr:from>
      <xdr:col>1</xdr:col>
      <xdr:colOff>517072</xdr:colOff>
      <xdr:row>62</xdr:row>
      <xdr:rowOff>153565</xdr:rowOff>
    </xdr:from>
    <xdr:to>
      <xdr:col>1</xdr:col>
      <xdr:colOff>1504710</xdr:colOff>
      <xdr:row>67</xdr:row>
      <xdr:rowOff>168999</xdr:rowOff>
    </xdr:to>
    <xdr:pic>
      <xdr:nvPicPr>
        <xdr:cNvPr id="9" name="Picture 8">
          <a:extLst>
            <a:ext uri="{FF2B5EF4-FFF2-40B4-BE49-F238E27FC236}">
              <a16:creationId xmlns:a16="http://schemas.microsoft.com/office/drawing/2014/main" id="{00000000-0008-0000-0D00-000009000000}"/>
            </a:ext>
          </a:extLst>
        </xdr:cNvPr>
        <xdr:cNvPicPr>
          <a:picLocks noChangeAspect="1"/>
        </xdr:cNvPicPr>
      </xdr:nvPicPr>
      <xdr:blipFill>
        <a:blip xmlns:r="http://schemas.openxmlformats.org/officeDocument/2006/relationships" r:embed="rId9"/>
        <a:stretch>
          <a:fillRect/>
        </a:stretch>
      </xdr:blipFill>
      <xdr:spPr>
        <a:xfrm>
          <a:off x="707572" y="12780994"/>
          <a:ext cx="987638" cy="981541"/>
        </a:xfrm>
        <a:prstGeom prst="rect">
          <a:avLst/>
        </a:prstGeom>
      </xdr:spPr>
    </xdr:pic>
    <xdr:clientData/>
  </xdr:twoCellAnchor>
  <xdr:twoCellAnchor editAs="oneCell">
    <xdr:from>
      <xdr:col>1</xdr:col>
      <xdr:colOff>517072</xdr:colOff>
      <xdr:row>52</xdr:row>
      <xdr:rowOff>155510</xdr:rowOff>
    </xdr:from>
    <xdr:to>
      <xdr:col>1</xdr:col>
      <xdr:colOff>1504710</xdr:colOff>
      <xdr:row>57</xdr:row>
      <xdr:rowOff>170944</xdr:rowOff>
    </xdr:to>
    <xdr:pic>
      <xdr:nvPicPr>
        <xdr:cNvPr id="10" name="Picture 9">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10"/>
        <a:stretch>
          <a:fillRect/>
        </a:stretch>
      </xdr:blipFill>
      <xdr:spPr>
        <a:xfrm>
          <a:off x="707572" y="10755474"/>
          <a:ext cx="987638" cy="9815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1273968</xdr:colOff>
      <xdr:row>0</xdr:row>
      <xdr:rowOff>130969</xdr:rowOff>
    </xdr:from>
    <xdr:to>
      <xdr:col>3</xdr:col>
      <xdr:colOff>1583531</xdr:colOff>
      <xdr:row>1</xdr:row>
      <xdr:rowOff>303492</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4968" y="130969"/>
          <a:ext cx="309563" cy="363023"/>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11906</xdr:colOff>
      <xdr:row>0</xdr:row>
      <xdr:rowOff>166687</xdr:rowOff>
    </xdr:from>
    <xdr:to>
      <xdr:col>3</xdr:col>
      <xdr:colOff>260615</xdr:colOff>
      <xdr:row>1</xdr:row>
      <xdr:rowOff>286563</xdr:rowOff>
    </xdr:to>
    <xdr:pic>
      <xdr:nvPicPr>
        <xdr:cNvPr id="3" name="Picture 2"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22219" y="166687"/>
          <a:ext cx="248709" cy="29847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2434937</xdr:colOff>
      <xdr:row>24</xdr:row>
      <xdr:rowOff>138546</xdr:rowOff>
    </xdr:from>
    <xdr:to>
      <xdr:col>16</xdr:col>
      <xdr:colOff>554182</xdr:colOff>
      <xdr:row>51</xdr:row>
      <xdr:rowOff>16328</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205343</xdr:colOff>
      <xdr:row>0</xdr:row>
      <xdr:rowOff>143742</xdr:rowOff>
    </xdr:from>
    <xdr:to>
      <xdr:col>6</xdr:col>
      <xdr:colOff>454052</xdr:colOff>
      <xdr:row>1</xdr:row>
      <xdr:rowOff>251712</xdr:rowOff>
    </xdr:to>
    <xdr:pic>
      <xdr:nvPicPr>
        <xdr:cNvPr id="3" name="Picture 2" descr="C:\Users\IBF250\AppData\Local\Microsoft\Windows\Temporary Internet Files\Content.IE5\3CVEKPUG\Home_font_awesome.svg[1].png">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34893" y="143742"/>
          <a:ext cx="248709" cy="29847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710117</xdr:colOff>
      <xdr:row>56</xdr:row>
      <xdr:rowOff>117517</xdr:rowOff>
    </xdr:from>
    <xdr:to>
      <xdr:col>16</xdr:col>
      <xdr:colOff>978167</xdr:colOff>
      <xdr:row>82</xdr:row>
      <xdr:rowOff>139929</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710117</xdr:colOff>
      <xdr:row>87</xdr:row>
      <xdr:rowOff>117517</xdr:rowOff>
    </xdr:from>
    <xdr:to>
      <xdr:col>16</xdr:col>
      <xdr:colOff>978167</xdr:colOff>
      <xdr:row>113</xdr:row>
      <xdr:rowOff>139929</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710117</xdr:colOff>
      <xdr:row>118</xdr:row>
      <xdr:rowOff>117517</xdr:rowOff>
    </xdr:from>
    <xdr:to>
      <xdr:col>16</xdr:col>
      <xdr:colOff>978167</xdr:colOff>
      <xdr:row>144</xdr:row>
      <xdr:rowOff>139929</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363680</xdr:colOff>
      <xdr:row>3</xdr:row>
      <xdr:rowOff>51954</xdr:rowOff>
    </xdr:from>
    <xdr:to>
      <xdr:col>44</xdr:col>
      <xdr:colOff>422563</xdr:colOff>
      <xdr:row>28</xdr:row>
      <xdr:rowOff>51955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349827</xdr:colOff>
      <xdr:row>27</xdr:row>
      <xdr:rowOff>114300</xdr:rowOff>
    </xdr:from>
    <xdr:to>
      <xdr:col>45</xdr:col>
      <xdr:colOff>114300</xdr:colOff>
      <xdr:row>50</xdr:row>
      <xdr:rowOff>123700</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465841</xdr:colOff>
      <xdr:row>1</xdr:row>
      <xdr:rowOff>1668</xdr:rowOff>
    </xdr:from>
    <xdr:to>
      <xdr:col>2</xdr:col>
      <xdr:colOff>713491</xdr:colOff>
      <xdr:row>1</xdr:row>
      <xdr:rowOff>251435</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59122" y="192168"/>
          <a:ext cx="247650" cy="24976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47819</xdr:colOff>
      <xdr:row>15</xdr:row>
      <xdr:rowOff>203490</xdr:rowOff>
    </xdr:from>
    <xdr:to>
      <xdr:col>26</xdr:col>
      <xdr:colOff>536719</xdr:colOff>
      <xdr:row>44</xdr:row>
      <xdr:rowOff>115168</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97601</xdr:colOff>
      <xdr:row>63</xdr:row>
      <xdr:rowOff>161925</xdr:rowOff>
    </xdr:from>
    <xdr:to>
      <xdr:col>20</xdr:col>
      <xdr:colOff>533029</xdr:colOff>
      <xdr:row>78</xdr:row>
      <xdr:rowOff>180975</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97601</xdr:colOff>
      <xdr:row>92</xdr:row>
      <xdr:rowOff>47624</xdr:rowOff>
    </xdr:from>
    <xdr:to>
      <xdr:col>20</xdr:col>
      <xdr:colOff>533029</xdr:colOff>
      <xdr:row>107</xdr:row>
      <xdr:rowOff>161925</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97601</xdr:colOff>
      <xdr:row>129</xdr:row>
      <xdr:rowOff>47624</xdr:rowOff>
    </xdr:from>
    <xdr:to>
      <xdr:col>20</xdr:col>
      <xdr:colOff>533029</xdr:colOff>
      <xdr:row>144</xdr:row>
      <xdr:rowOff>161925</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97601</xdr:colOff>
      <xdr:row>158</xdr:row>
      <xdr:rowOff>171450</xdr:rowOff>
    </xdr:from>
    <xdr:to>
      <xdr:col>20</xdr:col>
      <xdr:colOff>533029</xdr:colOff>
      <xdr:row>174</xdr:row>
      <xdr:rowOff>95251</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542925</xdr:colOff>
      <xdr:row>194</xdr:row>
      <xdr:rowOff>152400</xdr:rowOff>
    </xdr:from>
    <xdr:to>
      <xdr:col>24</xdr:col>
      <xdr:colOff>349703</xdr:colOff>
      <xdr:row>212</xdr:row>
      <xdr:rowOff>130629</xdr:rowOff>
    </xdr:to>
    <xdr:graphicFrame macro="">
      <xdr:nvGraphicFramePr>
        <xdr:cNvPr id="8" name="Chart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99580</xdr:colOff>
      <xdr:row>233</xdr:row>
      <xdr:rowOff>66675</xdr:rowOff>
    </xdr:from>
    <xdr:to>
      <xdr:col>25</xdr:col>
      <xdr:colOff>515958</xdr:colOff>
      <xdr:row>250</xdr:row>
      <xdr:rowOff>138545</xdr:rowOff>
    </xdr:to>
    <xdr:graphicFrame macro="">
      <xdr:nvGraphicFramePr>
        <xdr:cNvPr id="9" name="Chart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160318</xdr:colOff>
      <xdr:row>268</xdr:row>
      <xdr:rowOff>38591</xdr:rowOff>
    </xdr:from>
    <xdr:to>
      <xdr:col>10</xdr:col>
      <xdr:colOff>312718</xdr:colOff>
      <xdr:row>286</xdr:row>
      <xdr:rowOff>44530</xdr:rowOff>
    </xdr:to>
    <xdr:graphicFrame macro="">
      <xdr:nvGraphicFramePr>
        <xdr:cNvPr id="10" name="Chart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289955</xdr:colOff>
      <xdr:row>293</xdr:row>
      <xdr:rowOff>152400</xdr:rowOff>
    </xdr:from>
    <xdr:to>
      <xdr:col>10</xdr:col>
      <xdr:colOff>442355</xdr:colOff>
      <xdr:row>311</xdr:row>
      <xdr:rowOff>158337</xdr:rowOff>
    </xdr:to>
    <xdr:graphicFrame macro="">
      <xdr:nvGraphicFramePr>
        <xdr:cNvPr id="11" name="Chart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376309</xdr:colOff>
      <xdr:row>1</xdr:row>
      <xdr:rowOff>34581</xdr:rowOff>
    </xdr:from>
    <xdr:to>
      <xdr:col>6</xdr:col>
      <xdr:colOff>30047</xdr:colOff>
      <xdr:row>1</xdr:row>
      <xdr:rowOff>284348</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32603" y="225081"/>
          <a:ext cx="247650" cy="24976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500063</xdr:colOff>
      <xdr:row>23</xdr:row>
      <xdr:rowOff>153077</xdr:rowOff>
    </xdr:from>
    <xdr:to>
      <xdr:col>26</xdr:col>
      <xdr:colOff>462642</xdr:colOff>
      <xdr:row>46</xdr:row>
      <xdr:rowOff>49406</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4320608</xdr:colOff>
      <xdr:row>0</xdr:row>
      <xdr:rowOff>164647</xdr:rowOff>
    </xdr:from>
    <xdr:to>
      <xdr:col>1</xdr:col>
      <xdr:colOff>4571433</xdr:colOff>
      <xdr:row>1</xdr:row>
      <xdr:rowOff>221797</xdr:rowOff>
    </xdr:to>
    <xdr:pic>
      <xdr:nvPicPr>
        <xdr:cNvPr id="4" name="Picture 3" descr="C:\Users\IBF250\AppData\Local\Microsoft\Windows\Temporary Internet Files\Content.IE5\3CVEKPUG\Home_font_awesome.svg[1].png">
          <a:hlinkClick xmlns:r="http://schemas.openxmlformats.org/officeDocument/2006/relationships" r:id="rId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11108" y="164647"/>
          <a:ext cx="250825" cy="24765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568098</xdr:colOff>
      <xdr:row>25</xdr:row>
      <xdr:rowOff>23812</xdr:rowOff>
    </xdr:from>
    <xdr:to>
      <xdr:col>12</xdr:col>
      <xdr:colOff>612321</xdr:colOff>
      <xdr:row>46</xdr:row>
      <xdr:rowOff>35800</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5844608</xdr:colOff>
      <xdr:row>1</xdr:row>
      <xdr:rowOff>33678</xdr:rowOff>
    </xdr:from>
    <xdr:to>
      <xdr:col>1</xdr:col>
      <xdr:colOff>6095433</xdr:colOff>
      <xdr:row>1</xdr:row>
      <xdr:rowOff>281328</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35108" y="224178"/>
          <a:ext cx="250825" cy="24765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1915886</xdr:colOff>
      <xdr:row>78</xdr:row>
      <xdr:rowOff>100147</xdr:rowOff>
    </xdr:from>
    <xdr:to>
      <xdr:col>6</xdr:col>
      <xdr:colOff>1992085</xdr:colOff>
      <xdr:row>97</xdr:row>
      <xdr:rowOff>73125</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2198912</xdr:colOff>
      <xdr:row>78</xdr:row>
      <xdr:rowOff>40278</xdr:rowOff>
    </xdr:from>
    <xdr:to>
      <xdr:col>13</xdr:col>
      <xdr:colOff>178527</xdr:colOff>
      <xdr:row>97</xdr:row>
      <xdr:rowOff>82731</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555810</xdr:colOff>
      <xdr:row>38</xdr:row>
      <xdr:rowOff>91089</xdr:rowOff>
    </xdr:from>
    <xdr:to>
      <xdr:col>33</xdr:col>
      <xdr:colOff>150767</xdr:colOff>
      <xdr:row>57</xdr:row>
      <xdr:rowOff>187778</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353785</xdr:colOff>
      <xdr:row>38</xdr:row>
      <xdr:rowOff>103414</xdr:rowOff>
    </xdr:from>
    <xdr:to>
      <xdr:col>44</xdr:col>
      <xdr:colOff>272143</xdr:colOff>
      <xdr:row>57</xdr:row>
      <xdr:rowOff>144234</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402773</xdr:colOff>
      <xdr:row>6</xdr:row>
      <xdr:rowOff>103412</xdr:rowOff>
    </xdr:from>
    <xdr:to>
      <xdr:col>29</xdr:col>
      <xdr:colOff>304800</xdr:colOff>
      <xdr:row>23</xdr:row>
      <xdr:rowOff>32656</xdr:rowOff>
    </xdr:to>
    <xdr:graphicFrame macro="">
      <xdr:nvGraphicFramePr>
        <xdr:cNvPr id="9" name="Chart 8">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1632857</xdr:colOff>
      <xdr:row>1</xdr:row>
      <xdr:rowOff>1360</xdr:rowOff>
    </xdr:from>
    <xdr:to>
      <xdr:col>2</xdr:col>
      <xdr:colOff>1883682</xdr:colOff>
      <xdr:row>1</xdr:row>
      <xdr:rowOff>249010</xdr:rowOff>
    </xdr:to>
    <xdr:pic>
      <xdr:nvPicPr>
        <xdr:cNvPr id="11" name="Picture 10"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68286" y="191860"/>
          <a:ext cx="250825" cy="24765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450981</xdr:colOff>
      <xdr:row>98</xdr:row>
      <xdr:rowOff>128053</xdr:rowOff>
    </xdr:from>
    <xdr:to>
      <xdr:col>17</xdr:col>
      <xdr:colOff>77755</xdr:colOff>
      <xdr:row>117</xdr:row>
      <xdr:rowOff>4961</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77259</xdr:colOff>
      <xdr:row>1</xdr:row>
      <xdr:rowOff>19049</xdr:rowOff>
    </xdr:from>
    <xdr:to>
      <xdr:col>2</xdr:col>
      <xdr:colOff>325968</xdr:colOff>
      <xdr:row>2</xdr:row>
      <xdr:rowOff>2328</xdr:rowOff>
    </xdr:to>
    <xdr:pic>
      <xdr:nvPicPr>
        <xdr:cNvPr id="3" name="Picture 2" descr="C:\Users\IBF250\AppData\Local\Microsoft\Windows\Temporary Internet Files\Content.IE5\3CVEKPUG\Home_font_awesome.svg[1].png">
          <a:hlinkClick xmlns:r="http://schemas.openxmlformats.org/officeDocument/2006/relationships" r:id="rId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75779" y="201929"/>
          <a:ext cx="248709" cy="28807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424417</xdr:colOff>
      <xdr:row>40</xdr:row>
      <xdr:rowOff>78711</xdr:rowOff>
    </xdr:from>
    <xdr:to>
      <xdr:col>17</xdr:col>
      <xdr:colOff>77755</xdr:colOff>
      <xdr:row>58</xdr:row>
      <xdr:rowOff>142232</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335897</xdr:colOff>
      <xdr:row>50</xdr:row>
      <xdr:rowOff>171296</xdr:rowOff>
    </xdr:from>
    <xdr:to>
      <xdr:col>5</xdr:col>
      <xdr:colOff>242112</xdr:colOff>
      <xdr:row>53</xdr:row>
      <xdr:rowOff>147850</xdr:rowOff>
    </xdr:to>
    <xdr:sp macro="" textlink="">
      <xdr:nvSpPr>
        <xdr:cNvPr id="5" name="Oval 4">
          <a:extLst>
            <a:ext uri="{FF2B5EF4-FFF2-40B4-BE49-F238E27FC236}">
              <a16:creationId xmlns:a16="http://schemas.microsoft.com/office/drawing/2014/main" id="{00000000-0008-0000-0800-000005000000}"/>
            </a:ext>
          </a:extLst>
        </xdr:cNvPr>
        <xdr:cNvSpPr/>
      </xdr:nvSpPr>
      <xdr:spPr>
        <a:xfrm>
          <a:off x="4999337" y="10785956"/>
          <a:ext cx="592015" cy="54805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1</a:t>
          </a:r>
        </a:p>
      </xdr:txBody>
    </xdr:sp>
    <xdr:clientData/>
  </xdr:twoCellAnchor>
  <xdr:twoCellAnchor>
    <xdr:from>
      <xdr:col>6</xdr:col>
      <xdr:colOff>63281</xdr:colOff>
      <xdr:row>53</xdr:row>
      <xdr:rowOff>162420</xdr:rowOff>
    </xdr:from>
    <xdr:to>
      <xdr:col>8</xdr:col>
      <xdr:colOff>583648</xdr:colOff>
      <xdr:row>53</xdr:row>
      <xdr:rowOff>169360</xdr:rowOff>
    </xdr:to>
    <xdr:cxnSp macro="">
      <xdr:nvCxnSpPr>
        <xdr:cNvPr id="6" name="Straight Arrow Connector 5">
          <a:extLst>
            <a:ext uri="{FF2B5EF4-FFF2-40B4-BE49-F238E27FC236}">
              <a16:creationId xmlns:a16="http://schemas.microsoft.com/office/drawing/2014/main" id="{00000000-0008-0000-0800-000006000000}"/>
            </a:ext>
          </a:extLst>
        </xdr:cNvPr>
        <xdr:cNvCxnSpPr/>
      </xdr:nvCxnSpPr>
      <xdr:spPr>
        <a:xfrm>
          <a:off x="5933062" y="11354295"/>
          <a:ext cx="1710992" cy="6940"/>
        </a:xfrm>
        <a:prstGeom prst="straightConnector1">
          <a:avLst/>
        </a:prstGeom>
        <a:ln w="57150">
          <a:solidFill>
            <a:schemeClr val="tx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575387</xdr:colOff>
      <xdr:row>53</xdr:row>
      <xdr:rowOff>142875</xdr:rowOff>
    </xdr:from>
    <xdr:to>
      <xdr:col>16</xdr:col>
      <xdr:colOff>1595438</xdr:colOff>
      <xdr:row>53</xdr:row>
      <xdr:rowOff>157453</xdr:rowOff>
    </xdr:to>
    <xdr:cxnSp macro="">
      <xdr:nvCxnSpPr>
        <xdr:cNvPr id="7" name="Straight Arrow Connector 6">
          <a:extLst>
            <a:ext uri="{FF2B5EF4-FFF2-40B4-BE49-F238E27FC236}">
              <a16:creationId xmlns:a16="http://schemas.microsoft.com/office/drawing/2014/main" id="{00000000-0008-0000-0800-000007000000}"/>
            </a:ext>
          </a:extLst>
        </xdr:cNvPr>
        <xdr:cNvCxnSpPr/>
      </xdr:nvCxnSpPr>
      <xdr:spPr>
        <a:xfrm flipV="1">
          <a:off x="7635793" y="11334750"/>
          <a:ext cx="7199395" cy="14578"/>
        </a:xfrm>
        <a:prstGeom prst="straightConnector1">
          <a:avLst/>
        </a:prstGeom>
        <a:ln w="57150">
          <a:solidFill>
            <a:schemeClr val="tx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571090</xdr:colOff>
      <xdr:row>50</xdr:row>
      <xdr:rowOff>84125</xdr:rowOff>
    </xdr:from>
    <xdr:to>
      <xdr:col>7</xdr:col>
      <xdr:colOff>565684</xdr:colOff>
      <xdr:row>53</xdr:row>
      <xdr:rowOff>60679</xdr:rowOff>
    </xdr:to>
    <xdr:sp macro="" textlink="">
      <xdr:nvSpPr>
        <xdr:cNvPr id="8" name="Oval 7">
          <a:extLst>
            <a:ext uri="{FF2B5EF4-FFF2-40B4-BE49-F238E27FC236}">
              <a16:creationId xmlns:a16="http://schemas.microsoft.com/office/drawing/2014/main" id="{00000000-0008-0000-0800-000008000000}"/>
            </a:ext>
          </a:extLst>
        </xdr:cNvPr>
        <xdr:cNvSpPr/>
      </xdr:nvSpPr>
      <xdr:spPr>
        <a:xfrm>
          <a:off x="6440871" y="10704500"/>
          <a:ext cx="589907" cy="54805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2</a:t>
          </a:r>
        </a:p>
      </xdr:txBody>
    </xdr:sp>
    <xdr:clientData/>
  </xdr:twoCellAnchor>
  <xdr:twoCellAnchor>
    <xdr:from>
      <xdr:col>3</xdr:col>
      <xdr:colOff>102395</xdr:colOff>
      <xdr:row>27</xdr:row>
      <xdr:rowOff>74407</xdr:rowOff>
    </xdr:from>
    <xdr:to>
      <xdr:col>3</xdr:col>
      <xdr:colOff>613428</xdr:colOff>
      <xdr:row>29</xdr:row>
      <xdr:rowOff>127520</xdr:rowOff>
    </xdr:to>
    <xdr:sp macro="" textlink="">
      <xdr:nvSpPr>
        <xdr:cNvPr id="9" name="Oval 8">
          <a:extLst>
            <a:ext uri="{FF2B5EF4-FFF2-40B4-BE49-F238E27FC236}">
              <a16:creationId xmlns:a16="http://schemas.microsoft.com/office/drawing/2014/main" id="{00000000-0008-0000-0800-000009000000}"/>
            </a:ext>
          </a:extLst>
        </xdr:cNvPr>
        <xdr:cNvSpPr/>
      </xdr:nvSpPr>
      <xdr:spPr>
        <a:xfrm>
          <a:off x="4080035" y="6307567"/>
          <a:ext cx="511033" cy="434113"/>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000"/>
            <a:t>1</a:t>
          </a:r>
        </a:p>
      </xdr:txBody>
    </xdr:sp>
    <xdr:clientData/>
  </xdr:twoCellAnchor>
  <xdr:twoCellAnchor>
    <xdr:from>
      <xdr:col>3</xdr:col>
      <xdr:colOff>114118</xdr:colOff>
      <xdr:row>30</xdr:row>
      <xdr:rowOff>43304</xdr:rowOff>
    </xdr:from>
    <xdr:to>
      <xdr:col>3</xdr:col>
      <xdr:colOff>625151</xdr:colOff>
      <xdr:row>32</xdr:row>
      <xdr:rowOff>96418</xdr:rowOff>
    </xdr:to>
    <xdr:sp macro="" textlink="">
      <xdr:nvSpPr>
        <xdr:cNvPr id="10" name="Oval 9">
          <a:extLst>
            <a:ext uri="{FF2B5EF4-FFF2-40B4-BE49-F238E27FC236}">
              <a16:creationId xmlns:a16="http://schemas.microsoft.com/office/drawing/2014/main" id="{00000000-0008-0000-0800-00000A000000}"/>
            </a:ext>
          </a:extLst>
        </xdr:cNvPr>
        <xdr:cNvSpPr/>
      </xdr:nvSpPr>
      <xdr:spPr>
        <a:xfrm>
          <a:off x="4091758" y="6847964"/>
          <a:ext cx="511033" cy="43411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000"/>
            <a:t>2</a:t>
          </a:r>
        </a:p>
      </xdr:txBody>
    </xdr:sp>
    <xdr:clientData/>
  </xdr:twoCellAnchor>
  <xdr:twoCellAnchor>
    <xdr:from>
      <xdr:col>2</xdr:col>
      <xdr:colOff>435429</xdr:colOff>
      <xdr:row>59</xdr:row>
      <xdr:rowOff>171061</xdr:rowOff>
    </xdr:from>
    <xdr:to>
      <xdr:col>17</xdr:col>
      <xdr:colOff>139959</xdr:colOff>
      <xdr:row>78</xdr:row>
      <xdr:rowOff>32418</xdr:rowOff>
    </xdr:to>
    <xdr:graphicFrame macro="">
      <xdr:nvGraphicFramePr>
        <xdr:cNvPr id="11" name="Chart 10">
          <a:extLst>
            <a:ext uri="{FF2B5EF4-FFF2-40B4-BE49-F238E27FC236}">
              <a16:creationId xmlns:a16="http://schemas.microsoft.com/office/drawing/2014/main" id="{00000000-0008-0000-0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450980</xdr:colOff>
      <xdr:row>78</xdr:row>
      <xdr:rowOff>139959</xdr:rowOff>
    </xdr:from>
    <xdr:to>
      <xdr:col>17</xdr:col>
      <xdr:colOff>139959</xdr:colOff>
      <xdr:row>97</xdr:row>
      <xdr:rowOff>16867</xdr:rowOff>
    </xdr:to>
    <xdr:graphicFrame macro="">
      <xdr:nvGraphicFramePr>
        <xdr:cNvPr id="12" name="Chart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111008</xdr:colOff>
      <xdr:row>33</xdr:row>
      <xdr:rowOff>71295</xdr:rowOff>
    </xdr:from>
    <xdr:to>
      <xdr:col>3</xdr:col>
      <xdr:colOff>622041</xdr:colOff>
      <xdr:row>35</xdr:row>
      <xdr:rowOff>124409</xdr:rowOff>
    </xdr:to>
    <xdr:sp macro="" textlink="">
      <xdr:nvSpPr>
        <xdr:cNvPr id="13" name="Oval 12">
          <a:extLst>
            <a:ext uri="{FF2B5EF4-FFF2-40B4-BE49-F238E27FC236}">
              <a16:creationId xmlns:a16="http://schemas.microsoft.com/office/drawing/2014/main" id="{00000000-0008-0000-0800-00000D000000}"/>
            </a:ext>
          </a:extLst>
        </xdr:cNvPr>
        <xdr:cNvSpPr/>
      </xdr:nvSpPr>
      <xdr:spPr>
        <a:xfrm>
          <a:off x="4088648" y="7447455"/>
          <a:ext cx="511033" cy="43411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000"/>
            <a:t>3</a:t>
          </a:r>
        </a:p>
      </xdr:txBody>
    </xdr:sp>
    <xdr:clientData/>
  </xdr:twoCellAnchor>
  <xdr:twoCellAnchor>
    <xdr:from>
      <xdr:col>14</xdr:col>
      <xdr:colOff>211327</xdr:colOff>
      <xdr:row>52</xdr:row>
      <xdr:rowOff>116734</xdr:rowOff>
    </xdr:from>
    <xdr:to>
      <xdr:col>15</xdr:col>
      <xdr:colOff>202715</xdr:colOff>
      <xdr:row>55</xdr:row>
      <xdr:rowOff>93288</xdr:rowOff>
    </xdr:to>
    <xdr:sp macro="" textlink="">
      <xdr:nvSpPr>
        <xdr:cNvPr id="14" name="Oval 13">
          <a:extLst>
            <a:ext uri="{FF2B5EF4-FFF2-40B4-BE49-F238E27FC236}">
              <a16:creationId xmlns:a16="http://schemas.microsoft.com/office/drawing/2014/main" id="{00000000-0008-0000-0800-00000E000000}"/>
            </a:ext>
          </a:extLst>
        </xdr:cNvPr>
        <xdr:cNvSpPr/>
      </xdr:nvSpPr>
      <xdr:spPr>
        <a:xfrm>
          <a:off x="10843608" y="11118109"/>
          <a:ext cx="586701" cy="54805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3</a:t>
          </a:r>
        </a:p>
      </xdr:txBody>
    </xdr:sp>
    <xdr:clientData/>
  </xdr:twoCellAnchor>
  <xdr:twoCellAnchor>
    <xdr:from>
      <xdr:col>4</xdr:col>
      <xdr:colOff>279919</xdr:colOff>
      <xdr:row>69</xdr:row>
      <xdr:rowOff>162448</xdr:rowOff>
    </xdr:from>
    <xdr:to>
      <xdr:col>5</xdr:col>
      <xdr:colOff>186134</xdr:colOff>
      <xdr:row>72</xdr:row>
      <xdr:rowOff>139002</xdr:rowOff>
    </xdr:to>
    <xdr:sp macro="" textlink="">
      <xdr:nvSpPr>
        <xdr:cNvPr id="15" name="Oval 14">
          <a:extLst>
            <a:ext uri="{FF2B5EF4-FFF2-40B4-BE49-F238E27FC236}">
              <a16:creationId xmlns:a16="http://schemas.microsoft.com/office/drawing/2014/main" id="{00000000-0008-0000-0800-00000F000000}"/>
            </a:ext>
          </a:extLst>
        </xdr:cNvPr>
        <xdr:cNvSpPr/>
      </xdr:nvSpPr>
      <xdr:spPr>
        <a:xfrm>
          <a:off x="4943359" y="14396608"/>
          <a:ext cx="592015" cy="52519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1</a:t>
          </a:r>
        </a:p>
      </xdr:txBody>
    </xdr:sp>
    <xdr:clientData/>
  </xdr:twoCellAnchor>
  <xdr:twoCellAnchor>
    <xdr:from>
      <xdr:col>5</xdr:col>
      <xdr:colOff>667736</xdr:colOff>
      <xdr:row>73</xdr:row>
      <xdr:rowOff>46416</xdr:rowOff>
    </xdr:from>
    <xdr:to>
      <xdr:col>8</xdr:col>
      <xdr:colOff>503858</xdr:colOff>
      <xdr:row>73</xdr:row>
      <xdr:rowOff>53356</xdr:rowOff>
    </xdr:to>
    <xdr:cxnSp macro="">
      <xdr:nvCxnSpPr>
        <xdr:cNvPr id="16" name="Straight Arrow Connector 15">
          <a:extLst>
            <a:ext uri="{FF2B5EF4-FFF2-40B4-BE49-F238E27FC236}">
              <a16:creationId xmlns:a16="http://schemas.microsoft.com/office/drawing/2014/main" id="{00000000-0008-0000-0800-000010000000}"/>
            </a:ext>
          </a:extLst>
        </xdr:cNvPr>
        <xdr:cNvCxnSpPr/>
      </xdr:nvCxnSpPr>
      <xdr:spPr>
        <a:xfrm>
          <a:off x="6016976" y="15012096"/>
          <a:ext cx="1741122" cy="6940"/>
        </a:xfrm>
        <a:prstGeom prst="straightConnector1">
          <a:avLst/>
        </a:prstGeom>
        <a:ln w="57150">
          <a:solidFill>
            <a:schemeClr val="tx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519409</xdr:colOff>
      <xdr:row>73</xdr:row>
      <xdr:rowOff>53355</xdr:rowOff>
    </xdr:from>
    <xdr:to>
      <xdr:col>16</xdr:col>
      <xdr:colOff>1965654</xdr:colOff>
      <xdr:row>73</xdr:row>
      <xdr:rowOff>68907</xdr:rowOff>
    </xdr:to>
    <xdr:cxnSp macro="">
      <xdr:nvCxnSpPr>
        <xdr:cNvPr id="17" name="Straight Arrow Connector 16">
          <a:extLst>
            <a:ext uri="{FF2B5EF4-FFF2-40B4-BE49-F238E27FC236}">
              <a16:creationId xmlns:a16="http://schemas.microsoft.com/office/drawing/2014/main" id="{00000000-0008-0000-0800-000011000000}"/>
            </a:ext>
          </a:extLst>
        </xdr:cNvPr>
        <xdr:cNvCxnSpPr/>
      </xdr:nvCxnSpPr>
      <xdr:spPr>
        <a:xfrm>
          <a:off x="7773649" y="15019035"/>
          <a:ext cx="7778465" cy="15552"/>
        </a:xfrm>
        <a:prstGeom prst="straightConnector1">
          <a:avLst/>
        </a:prstGeom>
        <a:ln w="57150">
          <a:solidFill>
            <a:schemeClr val="tx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763</xdr:colOff>
      <xdr:row>69</xdr:row>
      <xdr:rowOff>170526</xdr:rowOff>
    </xdr:from>
    <xdr:to>
      <xdr:col>7</xdr:col>
      <xdr:colOff>581145</xdr:colOff>
      <xdr:row>72</xdr:row>
      <xdr:rowOff>147080</xdr:rowOff>
    </xdr:to>
    <xdr:sp macro="" textlink="">
      <xdr:nvSpPr>
        <xdr:cNvPr id="18" name="Oval 17">
          <a:extLst>
            <a:ext uri="{FF2B5EF4-FFF2-40B4-BE49-F238E27FC236}">
              <a16:creationId xmlns:a16="http://schemas.microsoft.com/office/drawing/2014/main" id="{00000000-0008-0000-0800-000012000000}"/>
            </a:ext>
          </a:extLst>
        </xdr:cNvPr>
        <xdr:cNvSpPr/>
      </xdr:nvSpPr>
      <xdr:spPr>
        <a:xfrm>
          <a:off x="6465857" y="14422307"/>
          <a:ext cx="580382" cy="54805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2</a:t>
          </a:r>
        </a:p>
      </xdr:txBody>
    </xdr:sp>
    <xdr:clientData/>
  </xdr:twoCellAnchor>
  <xdr:twoCellAnchor>
    <xdr:from>
      <xdr:col>14</xdr:col>
      <xdr:colOff>238693</xdr:colOff>
      <xdr:row>71</xdr:row>
      <xdr:rowOff>119791</xdr:rowOff>
    </xdr:from>
    <xdr:to>
      <xdr:col>15</xdr:col>
      <xdr:colOff>230081</xdr:colOff>
      <xdr:row>74</xdr:row>
      <xdr:rowOff>96345</xdr:rowOff>
    </xdr:to>
    <xdr:sp macro="" textlink="">
      <xdr:nvSpPr>
        <xdr:cNvPr id="19" name="Oval 18">
          <a:extLst>
            <a:ext uri="{FF2B5EF4-FFF2-40B4-BE49-F238E27FC236}">
              <a16:creationId xmlns:a16="http://schemas.microsoft.com/office/drawing/2014/main" id="{00000000-0008-0000-0800-000013000000}"/>
            </a:ext>
          </a:extLst>
        </xdr:cNvPr>
        <xdr:cNvSpPr/>
      </xdr:nvSpPr>
      <xdr:spPr>
        <a:xfrm>
          <a:off x="10870974" y="14752572"/>
          <a:ext cx="586701" cy="54805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3</a:t>
          </a:r>
        </a:p>
      </xdr:txBody>
    </xdr:sp>
    <xdr:clientData/>
  </xdr:twoCellAnchor>
  <xdr:twoCellAnchor>
    <xdr:from>
      <xdr:col>4</xdr:col>
      <xdr:colOff>370115</xdr:colOff>
      <xdr:row>88</xdr:row>
      <xdr:rowOff>174888</xdr:rowOff>
    </xdr:from>
    <xdr:to>
      <xdr:col>5</xdr:col>
      <xdr:colOff>276330</xdr:colOff>
      <xdr:row>91</xdr:row>
      <xdr:rowOff>151442</xdr:rowOff>
    </xdr:to>
    <xdr:sp macro="" textlink="">
      <xdr:nvSpPr>
        <xdr:cNvPr id="20" name="Oval 19">
          <a:extLst>
            <a:ext uri="{FF2B5EF4-FFF2-40B4-BE49-F238E27FC236}">
              <a16:creationId xmlns:a16="http://schemas.microsoft.com/office/drawing/2014/main" id="{00000000-0008-0000-0800-000014000000}"/>
            </a:ext>
          </a:extLst>
        </xdr:cNvPr>
        <xdr:cNvSpPr/>
      </xdr:nvSpPr>
      <xdr:spPr>
        <a:xfrm>
          <a:off x="5033555" y="17883768"/>
          <a:ext cx="592015" cy="52519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1</a:t>
          </a:r>
        </a:p>
      </xdr:txBody>
    </xdr:sp>
    <xdr:clientData/>
  </xdr:twoCellAnchor>
  <xdr:twoCellAnchor>
    <xdr:from>
      <xdr:col>6</xdr:col>
      <xdr:colOff>73687</xdr:colOff>
      <xdr:row>92</xdr:row>
      <xdr:rowOff>58856</xdr:rowOff>
    </xdr:from>
    <xdr:to>
      <xdr:col>8</xdr:col>
      <xdr:colOff>594054</xdr:colOff>
      <xdr:row>92</xdr:row>
      <xdr:rowOff>65796</xdr:rowOff>
    </xdr:to>
    <xdr:cxnSp macro="">
      <xdr:nvCxnSpPr>
        <xdr:cNvPr id="21" name="Straight Arrow Connector 20">
          <a:extLst>
            <a:ext uri="{FF2B5EF4-FFF2-40B4-BE49-F238E27FC236}">
              <a16:creationId xmlns:a16="http://schemas.microsoft.com/office/drawing/2014/main" id="{00000000-0008-0000-0800-000015000000}"/>
            </a:ext>
          </a:extLst>
        </xdr:cNvPr>
        <xdr:cNvCxnSpPr/>
      </xdr:nvCxnSpPr>
      <xdr:spPr>
        <a:xfrm>
          <a:off x="5943468" y="18692137"/>
          <a:ext cx="1710992" cy="6940"/>
        </a:xfrm>
        <a:prstGeom prst="straightConnector1">
          <a:avLst/>
        </a:prstGeom>
        <a:ln w="57150">
          <a:solidFill>
            <a:schemeClr val="tx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3116</xdr:colOff>
      <xdr:row>92</xdr:row>
      <xdr:rowOff>65795</xdr:rowOff>
    </xdr:from>
    <xdr:to>
      <xdr:col>16</xdr:col>
      <xdr:colOff>2055850</xdr:colOff>
      <xdr:row>92</xdr:row>
      <xdr:rowOff>81347</xdr:rowOff>
    </xdr:to>
    <xdr:cxnSp macro="">
      <xdr:nvCxnSpPr>
        <xdr:cNvPr id="22" name="Straight Arrow Connector 21">
          <a:extLst>
            <a:ext uri="{FF2B5EF4-FFF2-40B4-BE49-F238E27FC236}">
              <a16:creationId xmlns:a16="http://schemas.microsoft.com/office/drawing/2014/main" id="{00000000-0008-0000-0800-000016000000}"/>
            </a:ext>
          </a:extLst>
        </xdr:cNvPr>
        <xdr:cNvCxnSpPr/>
      </xdr:nvCxnSpPr>
      <xdr:spPr>
        <a:xfrm>
          <a:off x="7866956" y="18506195"/>
          <a:ext cx="7775354" cy="15552"/>
        </a:xfrm>
        <a:prstGeom prst="straightConnector1">
          <a:avLst/>
        </a:prstGeom>
        <a:ln w="57150">
          <a:solidFill>
            <a:schemeClr val="tx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37745</xdr:colOff>
      <xdr:row>88</xdr:row>
      <xdr:rowOff>171060</xdr:rowOff>
    </xdr:from>
    <xdr:to>
      <xdr:col>8</xdr:col>
      <xdr:colOff>29133</xdr:colOff>
      <xdr:row>91</xdr:row>
      <xdr:rowOff>147614</xdr:rowOff>
    </xdr:to>
    <xdr:sp macro="" textlink="">
      <xdr:nvSpPr>
        <xdr:cNvPr id="23" name="Oval 22">
          <a:extLst>
            <a:ext uri="{FF2B5EF4-FFF2-40B4-BE49-F238E27FC236}">
              <a16:creationId xmlns:a16="http://schemas.microsoft.com/office/drawing/2014/main" id="{00000000-0008-0000-0800-000017000000}"/>
            </a:ext>
          </a:extLst>
        </xdr:cNvPr>
        <xdr:cNvSpPr/>
      </xdr:nvSpPr>
      <xdr:spPr>
        <a:xfrm>
          <a:off x="6502839" y="18042341"/>
          <a:ext cx="586700" cy="54805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2</a:t>
          </a:r>
        </a:p>
      </xdr:txBody>
    </xdr:sp>
    <xdr:clientData/>
  </xdr:twoCellAnchor>
  <xdr:twoCellAnchor>
    <xdr:from>
      <xdr:col>14</xdr:col>
      <xdr:colOff>257451</xdr:colOff>
      <xdr:row>90</xdr:row>
      <xdr:rowOff>179857</xdr:rowOff>
    </xdr:from>
    <xdr:to>
      <xdr:col>15</xdr:col>
      <xdr:colOff>248839</xdr:colOff>
      <xdr:row>93</xdr:row>
      <xdr:rowOff>156411</xdr:rowOff>
    </xdr:to>
    <xdr:sp macro="" textlink="">
      <xdr:nvSpPr>
        <xdr:cNvPr id="24" name="Oval 23">
          <a:extLst>
            <a:ext uri="{FF2B5EF4-FFF2-40B4-BE49-F238E27FC236}">
              <a16:creationId xmlns:a16="http://schemas.microsoft.com/office/drawing/2014/main" id="{00000000-0008-0000-0800-000018000000}"/>
            </a:ext>
          </a:extLst>
        </xdr:cNvPr>
        <xdr:cNvSpPr/>
      </xdr:nvSpPr>
      <xdr:spPr>
        <a:xfrm>
          <a:off x="10889732" y="18432138"/>
          <a:ext cx="586701" cy="54805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3</a:t>
          </a:r>
        </a:p>
      </xdr:txBody>
    </xdr:sp>
    <xdr:clientData/>
  </xdr:twoCellAnchor>
  <xdr:twoCellAnchor>
    <xdr:from>
      <xdr:col>4</xdr:col>
      <xdr:colOff>373225</xdr:colOff>
      <xdr:row>107</xdr:row>
      <xdr:rowOff>177999</xdr:rowOff>
    </xdr:from>
    <xdr:to>
      <xdr:col>5</xdr:col>
      <xdr:colOff>279440</xdr:colOff>
      <xdr:row>110</xdr:row>
      <xdr:rowOff>154554</xdr:rowOff>
    </xdr:to>
    <xdr:sp macro="" textlink="">
      <xdr:nvSpPr>
        <xdr:cNvPr id="25" name="Oval 24">
          <a:extLst>
            <a:ext uri="{FF2B5EF4-FFF2-40B4-BE49-F238E27FC236}">
              <a16:creationId xmlns:a16="http://schemas.microsoft.com/office/drawing/2014/main" id="{00000000-0008-0000-0800-000019000000}"/>
            </a:ext>
          </a:extLst>
        </xdr:cNvPr>
        <xdr:cNvSpPr/>
      </xdr:nvSpPr>
      <xdr:spPr>
        <a:xfrm>
          <a:off x="5036665" y="21361599"/>
          <a:ext cx="592015" cy="525195"/>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1</a:t>
          </a:r>
        </a:p>
      </xdr:txBody>
    </xdr:sp>
    <xdr:clientData/>
  </xdr:twoCellAnchor>
  <xdr:twoCellAnchor>
    <xdr:from>
      <xdr:col>8</xdr:col>
      <xdr:colOff>440531</xdr:colOff>
      <xdr:row>111</xdr:row>
      <xdr:rowOff>84458</xdr:rowOff>
    </xdr:from>
    <xdr:to>
      <xdr:col>16</xdr:col>
      <xdr:colOff>2011335</xdr:colOff>
      <xdr:row>111</xdr:row>
      <xdr:rowOff>107156</xdr:rowOff>
    </xdr:to>
    <xdr:cxnSp macro="">
      <xdr:nvCxnSpPr>
        <xdr:cNvPr id="26" name="Straight Arrow Connector 25">
          <a:extLst>
            <a:ext uri="{FF2B5EF4-FFF2-40B4-BE49-F238E27FC236}">
              <a16:creationId xmlns:a16="http://schemas.microsoft.com/office/drawing/2014/main" id="{00000000-0008-0000-0800-00001A000000}"/>
            </a:ext>
          </a:extLst>
        </xdr:cNvPr>
        <xdr:cNvCxnSpPr/>
      </xdr:nvCxnSpPr>
      <xdr:spPr>
        <a:xfrm flipV="1">
          <a:off x="7500937" y="22337239"/>
          <a:ext cx="7750148" cy="22698"/>
        </a:xfrm>
        <a:prstGeom prst="straightConnector1">
          <a:avLst/>
        </a:prstGeom>
        <a:ln w="57150">
          <a:solidFill>
            <a:schemeClr val="tx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95818</xdr:colOff>
      <xdr:row>109</xdr:row>
      <xdr:rowOff>151865</xdr:rowOff>
    </xdr:from>
    <xdr:to>
      <xdr:col>15</xdr:col>
      <xdr:colOff>80887</xdr:colOff>
      <xdr:row>112</xdr:row>
      <xdr:rowOff>128420</xdr:rowOff>
    </xdr:to>
    <xdr:sp macro="" textlink="">
      <xdr:nvSpPr>
        <xdr:cNvPr id="27" name="Oval 26">
          <a:extLst>
            <a:ext uri="{FF2B5EF4-FFF2-40B4-BE49-F238E27FC236}">
              <a16:creationId xmlns:a16="http://schemas.microsoft.com/office/drawing/2014/main" id="{00000000-0008-0000-0800-00001B000000}"/>
            </a:ext>
          </a:extLst>
        </xdr:cNvPr>
        <xdr:cNvSpPr/>
      </xdr:nvSpPr>
      <xdr:spPr>
        <a:xfrm>
          <a:off x="10728099" y="22023646"/>
          <a:ext cx="580382" cy="548055"/>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3</a:t>
          </a:r>
        </a:p>
      </xdr:txBody>
    </xdr:sp>
    <xdr:clientData/>
  </xdr:twoCellAnchor>
  <xdr:twoCellAnchor>
    <xdr:from>
      <xdr:col>5</xdr:col>
      <xdr:colOff>607087</xdr:colOff>
      <xdr:row>111</xdr:row>
      <xdr:rowOff>92194</xdr:rowOff>
    </xdr:from>
    <xdr:to>
      <xdr:col>8</xdr:col>
      <xdr:colOff>460704</xdr:colOff>
      <xdr:row>111</xdr:row>
      <xdr:rowOff>99134</xdr:rowOff>
    </xdr:to>
    <xdr:cxnSp macro="">
      <xdr:nvCxnSpPr>
        <xdr:cNvPr id="34" name="Straight Arrow Connector 33">
          <a:extLst>
            <a:ext uri="{FF2B5EF4-FFF2-40B4-BE49-F238E27FC236}">
              <a16:creationId xmlns:a16="http://schemas.microsoft.com/office/drawing/2014/main" id="{00000000-0008-0000-0800-000022000000}"/>
            </a:ext>
          </a:extLst>
        </xdr:cNvPr>
        <xdr:cNvCxnSpPr/>
      </xdr:nvCxnSpPr>
      <xdr:spPr>
        <a:xfrm>
          <a:off x="5810118" y="22344975"/>
          <a:ext cx="1710992" cy="6940"/>
        </a:xfrm>
        <a:prstGeom prst="straightConnector1">
          <a:avLst/>
        </a:prstGeom>
        <a:ln w="57150">
          <a:solidFill>
            <a:schemeClr val="tx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499708</xdr:colOff>
      <xdr:row>108</xdr:row>
      <xdr:rowOff>13898</xdr:rowOff>
    </xdr:from>
    <xdr:to>
      <xdr:col>7</xdr:col>
      <xdr:colOff>491095</xdr:colOff>
      <xdr:row>110</xdr:row>
      <xdr:rowOff>180952</xdr:rowOff>
    </xdr:to>
    <xdr:sp macro="" textlink="">
      <xdr:nvSpPr>
        <xdr:cNvPr id="35" name="Oval 34">
          <a:extLst>
            <a:ext uri="{FF2B5EF4-FFF2-40B4-BE49-F238E27FC236}">
              <a16:creationId xmlns:a16="http://schemas.microsoft.com/office/drawing/2014/main" id="{00000000-0008-0000-0800-000023000000}"/>
            </a:ext>
          </a:extLst>
        </xdr:cNvPr>
        <xdr:cNvSpPr/>
      </xdr:nvSpPr>
      <xdr:spPr>
        <a:xfrm>
          <a:off x="6369489" y="21695179"/>
          <a:ext cx="586700" cy="548054"/>
        </a:xfrm>
        <a:prstGeom prst="ellipse">
          <a:avLst/>
        </a:prstGeom>
        <a:solidFill>
          <a:schemeClr val="tx2"/>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500"/>
            <a:t>2</a:t>
          </a:r>
          <a:r>
            <a:rPr lang="nl-BE" sz="1600" baseline="30000"/>
            <a:t>*</a:t>
          </a:r>
          <a:endParaRPr lang="nl-BE" sz="1400" baseline="30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setis.ec.europa.eu/system/files/ETRI_2014.pdf" TargetMode="External"/><Relationship Id="rId13" Type="http://schemas.openxmlformats.org/officeDocument/2006/relationships/hyperlink" Target="https://perspective2050.energyville.be/paths2050" TargetMode="External"/><Relationship Id="rId18" Type="http://schemas.openxmlformats.org/officeDocument/2006/relationships/hyperlink" Target="https://iea.blob.core.windows.net/assets/7e42db90-d8ea-459d-be1e-1256acd11330/WorldEnergyOutlook2022.pdf" TargetMode="External"/><Relationship Id="rId3" Type="http://schemas.openxmlformats.org/officeDocument/2006/relationships/hyperlink" Target="https://www.energyville.be/sites/energyville/files/downloads/2020/20200918_fullpresentation_0.pdf" TargetMode="External"/><Relationship Id="rId21" Type="http://schemas.openxmlformats.org/officeDocument/2006/relationships/drawing" Target="../drawings/drawing11.xml"/><Relationship Id="rId7" Type="http://schemas.openxmlformats.org/officeDocument/2006/relationships/hyperlink" Target="https://statbel.fgov.be/en/themes/indicators/labour/labour-cost-index" TargetMode="External"/><Relationship Id="rId12" Type="http://schemas.openxmlformats.org/officeDocument/2006/relationships/hyperlink" Target="https://www.semcommittee.com/sites/semc/files/media-files/SEM-18-156a%20Poyry%20Report%20-%20Cost%20of%20New%20Entrant%20Peaking%20Plant%20and%20Combined%20Cycle%20Plant%20in%20I-SEM.pdf" TargetMode="External"/><Relationship Id="rId17" Type="http://schemas.openxmlformats.org/officeDocument/2006/relationships/hyperlink" Target="https://www.nrel.gov/docs/fy21osti/79236.pdf" TargetMode="External"/><Relationship Id="rId2" Type="http://schemas.openxmlformats.org/officeDocument/2006/relationships/hyperlink" Target="https://www.cre.fr/content/download/21610/275050" TargetMode="External"/><Relationship Id="rId16" Type="http://schemas.openxmlformats.org/officeDocument/2006/relationships/hyperlink" Target="https://www.elia.be/en/public-consultation/20220506_public-consultation-on-crm" TargetMode="External"/><Relationship Id="rId20" Type="http://schemas.openxmlformats.org/officeDocument/2006/relationships/printerSettings" Target="../printerSettings/printerSettings10.bin"/><Relationship Id="rId1" Type="http://schemas.openxmlformats.org/officeDocument/2006/relationships/hyperlink" Target="https://www.ademe.fr/sites/default/files/assets/documents/effacement-consommation-electrique-france_2017-synthese.pdf" TargetMode="External"/><Relationship Id="rId6" Type="http://schemas.openxmlformats.org/officeDocument/2006/relationships/hyperlink" Target="https://statbel.fgov.be/en/themes/indicators/prices/output-price-index-industry" TargetMode="External"/><Relationship Id="rId11" Type="http://schemas.openxmlformats.org/officeDocument/2006/relationships/hyperlink" Target="https://www.rtbf.be/info/regions/liege/detail_un-troisieme-bassin-a-coo-ou-le-retour-d-une-arlesienne?id=9383349" TargetMode="External"/><Relationship Id="rId5" Type="http://schemas.openxmlformats.org/officeDocument/2006/relationships/hyperlink" Target="https://www.inflation.eu/nl/inflatiecijfers/belgie/historische-inflatie/cpi-inflatie-belgie.aspx" TargetMode="External"/><Relationship Id="rId15" Type="http://schemas.openxmlformats.org/officeDocument/2006/relationships/hyperlink" Target="file:///C:\Users\ADH0006\Downloads\EN2021_Fraunhofer-ISE_LCOE_Renewable_Energy_Technologies.pdf" TargetMode="External"/><Relationship Id="rId10" Type="http://schemas.openxmlformats.org/officeDocument/2006/relationships/hyperlink" Target="https://economie.fgov.be/sites/default/files/Files/Energy/Seuils-investissements-CREG-Feedback-PwC-20200207.pdf" TargetMode="External"/><Relationship Id="rId19" Type="http://schemas.openxmlformats.org/officeDocument/2006/relationships/hyperlink" Target="https://www.irena.org/-/media/Files/IRENA/Agency/Publication/2022/Jul/IRENA_Power_Generation_Costs_2021.pdf" TargetMode="External"/><Relationship Id="rId4" Type="http://schemas.openxmlformats.org/officeDocument/2006/relationships/hyperlink" Target="https://www.elia.be/-/media/project/elia/elia-site/public-consultations/2020/20200505_fichtner-report-cost-of-capacity-crm_en.pdf" TargetMode="External"/><Relationship Id="rId9" Type="http://schemas.openxmlformats.org/officeDocument/2006/relationships/hyperlink" Target="https://ec.europa.eu/energy/sites/ener/files/documents/2018_06_27_technology_pathways_-_finalreportmain2.pdf" TargetMode="External"/><Relationship Id="rId14" Type="http://schemas.openxmlformats.org/officeDocument/2006/relationships/hyperlink" Target="https://www.lazard.com/perspective/levelized-cost-of-energy-levelized-cost-of-storage-and-levelized-cost-of-hydrogen/"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irena.org/publications/2020/Dec/Green-hydrogen-cost-reduction" TargetMode="External"/><Relationship Id="rId13" Type="http://schemas.openxmlformats.org/officeDocument/2006/relationships/hyperlink" Target="https://www.sciencedirect.com/science/article/abs/pii/S0306261915012167" TargetMode="External"/><Relationship Id="rId3" Type="http://schemas.openxmlformats.org/officeDocument/2006/relationships/hyperlink" Target="https://www.creg.be/sites/default/files/assets/Consult/2018/1718/RA1718-Annex2.7.pdf" TargetMode="External"/><Relationship Id="rId7" Type="http://schemas.openxmlformats.org/officeDocument/2006/relationships/hyperlink" Target="http://smartnet-project.eu/wp-content/uploads/2017/05/D1.2_20170522_V1.1.pdf" TargetMode="External"/><Relationship Id="rId12" Type="http://schemas.openxmlformats.org/officeDocument/2006/relationships/hyperlink" Target="https://ieeexplore.ieee.org/abstract/document/7514034" TargetMode="External"/><Relationship Id="rId2" Type="http://schemas.openxmlformats.org/officeDocument/2006/relationships/hyperlink" Target="https://ens.dk/sites/ens.dk/files/Globalcooperation/flexibility_in_the_power_system_v23-lri.pdf" TargetMode="External"/><Relationship Id="rId16" Type="http://schemas.openxmlformats.org/officeDocument/2006/relationships/drawing" Target="../drawings/drawing13.xml"/><Relationship Id="rId1" Type="http://schemas.openxmlformats.org/officeDocument/2006/relationships/hyperlink" Target="https://www.agora-energiewende.de/fileadmin2/Projekte/2017/Flexibility_in_thermal_plants/115_flexibility-report-WEB.pdf" TargetMode="External"/><Relationship Id="rId6" Type="http://schemas.openxmlformats.org/officeDocument/2006/relationships/hyperlink" Target="https://www.sciencedirect.com/science/article/abs/pii/S0360544214001534" TargetMode="External"/><Relationship Id="rId11" Type="http://schemas.openxmlformats.org/officeDocument/2006/relationships/hyperlink" Target="https://www.sciencedirect.com/science/article/pii/S0960148118312059" TargetMode="External"/><Relationship Id="rId5" Type="http://schemas.openxmlformats.org/officeDocument/2006/relationships/hyperlink" Target="https://www.elia.be/-/media/project/elia/elia-site/electricity-market-and-system---document-library/adequacy---strategic-reserve/2018/20170712_e-cube_market-response_report_phase2.pdf" TargetMode="External"/><Relationship Id="rId15" Type="http://schemas.openxmlformats.org/officeDocument/2006/relationships/printerSettings" Target="../printerSettings/printerSettings12.bin"/><Relationship Id="rId10" Type="http://schemas.openxmlformats.org/officeDocument/2006/relationships/hyperlink" Target="https://www.elia.be/en/users-group/adequacy-working-group/20221028-meeting" TargetMode="External"/><Relationship Id="rId4" Type="http://schemas.openxmlformats.org/officeDocument/2006/relationships/hyperlink" Target="http://www.estorage-project.eu/wp-content/uploads/2013/06/eStorage-D3.2-Value-of-storage.pdf" TargetMode="External"/><Relationship Id="rId9" Type="http://schemas.openxmlformats.org/officeDocument/2006/relationships/hyperlink" Target="https://www.cire.pl/pliki/2/2018/13___niewinski.pdf" TargetMode="External"/><Relationship Id="rId14" Type="http://schemas.openxmlformats.org/officeDocument/2006/relationships/hyperlink" Target="https://www.entsoe.eu/Documents/SDC%20documents/MAF/MAF_2018_Dataset.xlsx"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traton.com/en/newsroom/press-releases/traton-boosts-e-mobility-investments.html" TargetMode="External"/><Relationship Id="rId13" Type="http://schemas.openxmlformats.org/officeDocument/2006/relationships/hyperlink" Target="https://www.delijn.be/nl/content/over-de-lijn/toekomst-waarden/elektrificatie/" TargetMode="External"/><Relationship Id="rId18" Type="http://schemas.openxmlformats.org/officeDocument/2006/relationships/hyperlink" Target="https://warmtepomp.ode.be/nl/artikel/1340/verplichting-elektrische-warmtepomp-bij-nieuwbouw-vervroegd-naar-2025" TargetMode="External"/><Relationship Id="rId3" Type="http://schemas.openxmlformats.org/officeDocument/2006/relationships/hyperlink" Target="https://vanpeteghem.belgium.be/nl/minister-van-peteghem-maakt-van-bedrijfswagens-en-laadpalen-de-hefbomen-naar-een-groener-wagenpark-0" TargetMode="External"/><Relationship Id="rId21" Type="http://schemas.openxmlformats.org/officeDocument/2006/relationships/hyperlink" Target="https://www.vlaanderen.be/bouwen-wonen-en-energie/niet-residentiele-gebouwen/co2-uitstoot-verlagen-bij-niet-residentiele-gebouwen/verplichtingen-voor-niet-residentiele-gebouwen" TargetMode="External"/><Relationship Id="rId7" Type="http://schemas.openxmlformats.org/officeDocument/2006/relationships/hyperlink" Target="https://www.febiac.be/public/statistics.aspx?FID=23&amp;lang=NL" TargetMode="External"/><Relationship Id="rId12" Type="http://schemas.openxmlformats.org/officeDocument/2006/relationships/hyperlink" Target="https://www.volvotrucks.com/en-en/about-us/electromobility.html" TargetMode="External"/><Relationship Id="rId17" Type="http://schemas.openxmlformats.org/officeDocument/2006/relationships/hyperlink" Target="https://statbel.fgov.be/nl/themas/bouwen-wonen/bouwvergunningen" TargetMode="External"/><Relationship Id="rId2" Type="http://schemas.openxmlformats.org/officeDocument/2006/relationships/hyperlink" Target="https://www.europarl.europa.eu/news/en/press-room/20220603IPR32129/fit-for-55-meps-back-objective-of-zero-emissions-for-cars-and-vans-in-2035" TargetMode="External"/><Relationship Id="rId16" Type="http://schemas.openxmlformats.org/officeDocument/2006/relationships/hyperlink" Target="https://warmtepomp.ode.be/nl/artikel/1340/verplichting-elektrische-warmtepomp-bij-nieuwbouw-vervroegd-naar-2025" TargetMode="External"/><Relationship Id="rId20" Type="http://schemas.openxmlformats.org/officeDocument/2006/relationships/hyperlink" Target="https://www.elia.be/-/media/project/elia/elia-site/public-consultations/2020/20200603_total-electricity-demand-forecasting_en.pdf" TargetMode="External"/><Relationship Id="rId1" Type="http://schemas.openxmlformats.org/officeDocument/2006/relationships/hyperlink" Target="https://lez.brussels/mytax/nl/practical?tab=Agenda" TargetMode="External"/><Relationship Id="rId6" Type="http://schemas.openxmlformats.org/officeDocument/2006/relationships/hyperlink" Target="https://www.europarl.europa.eu/news/en/press-room/20220603IPR32129/fit-for-55-meps-back-objective-of-zero-emissions-for-cars-and-vans-in-2035" TargetMode="External"/><Relationship Id="rId11" Type="http://schemas.openxmlformats.org/officeDocument/2006/relationships/hyperlink" Target="https://trucks.cardekho.com/en/news/detail/mercedes-benz-all-eactros-longhaul-in-pictures-1880.html" TargetMode="External"/><Relationship Id="rId5" Type="http://schemas.openxmlformats.org/officeDocument/2006/relationships/hyperlink" Target="https://www.febiac.be/public/statistics.aspx?FID=23&amp;lang=NL" TargetMode="External"/><Relationship Id="rId15" Type="http://schemas.openxmlformats.org/officeDocument/2006/relationships/hyperlink" Target="https://statbel.fgov.be/nl/themas/bouwen-wonen/bouwvergunningen" TargetMode="External"/><Relationship Id="rId23" Type="http://schemas.openxmlformats.org/officeDocument/2006/relationships/drawing" Target="../drawings/drawing4.xml"/><Relationship Id="rId10" Type="http://schemas.openxmlformats.org/officeDocument/2006/relationships/hyperlink" Target="https://traton.com/en/newsroom/press-releases/press-release-22032021.html" TargetMode="External"/><Relationship Id="rId19" Type="http://schemas.openxmlformats.org/officeDocument/2006/relationships/hyperlink" Target="https://www.plan.be/publications/publication-2259-fr-perspectives_economiques_2022_2027_version_de_juin_2022" TargetMode="External"/><Relationship Id="rId4" Type="http://schemas.openxmlformats.org/officeDocument/2006/relationships/hyperlink" Target="https://energiesparen.be/sites/default/files/atoms/files/VR%202021%200511%20DOC.1237-1%20Visienota%20VEKP%20Bijkomende%20maatregelen.pdf" TargetMode="External"/><Relationship Id="rId9" Type="http://schemas.openxmlformats.org/officeDocument/2006/relationships/hyperlink" Target="https://energiesparen.be/sites/default/files/atoms/files/VR%202021%200511%20DOC.1237-1%20Visienota%20VEKP%20Bijkomende%20maatregelen.pdf" TargetMode="External"/><Relationship Id="rId14" Type="http://schemas.openxmlformats.org/officeDocument/2006/relationships/hyperlink" Target="https://pascalsmet.brussels/project/vergroening-brusselse-busvloot/"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elia.be/-/media/project/elia/elia-site/public-consultations/2022/20211115_20220124_final-scenario-report.pdf" TargetMode="External"/><Relationship Id="rId2" Type="http://schemas.openxmlformats.org/officeDocument/2006/relationships/hyperlink" Target="https://www.waterstofnet.eu/_asset/_public/WIC/2020-12-7-Flemish-Hydrogen-Strategy_Hydrogen-Industry-Cluster.pdf" TargetMode="External"/><Relationship Id="rId1" Type="http://schemas.openxmlformats.org/officeDocument/2006/relationships/hyperlink" Target="https://economie.fgov.be/sites/default/files/Files/Energy/View-strategy-hydrogen.pdf"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iea.org/reports/world-energy-outlook-2022" TargetMode="External"/><Relationship Id="rId13" Type="http://schemas.openxmlformats.org/officeDocument/2006/relationships/hyperlink" Target="https://www.spglobal.com/commodityinsights/en" TargetMode="External"/><Relationship Id="rId3" Type="http://schemas.openxmlformats.org/officeDocument/2006/relationships/hyperlink" Target="https://www.cmegroup.com/markets/energy/natural-gas/uk-nbp-natural-gas-calendar-month.html" TargetMode="External"/><Relationship Id="rId7" Type="http://schemas.openxmlformats.org/officeDocument/2006/relationships/hyperlink" Target="https://www.iea.org/reports/world-energy-outlook-2022" TargetMode="External"/><Relationship Id="rId12" Type="http://schemas.openxmlformats.org/officeDocument/2006/relationships/hyperlink" Target="https://www.iea.org/reports/world-energy-outlook-2022" TargetMode="External"/><Relationship Id="rId2" Type="http://schemas.openxmlformats.org/officeDocument/2006/relationships/hyperlink" Target="https://my.elexys.be/MarketInformation/IceEndexTtfGas.aspx" TargetMode="External"/><Relationship Id="rId1" Type="http://schemas.openxmlformats.org/officeDocument/2006/relationships/hyperlink" Target="https://ember-climate.org/data/data-tools/carbon-price-viewer/" TargetMode="External"/><Relationship Id="rId6" Type="http://schemas.openxmlformats.org/officeDocument/2006/relationships/hyperlink" Target="https://www.theice.com/products/197/EUA-Futures/data?marketId=5474736" TargetMode="External"/><Relationship Id="rId11" Type="http://schemas.openxmlformats.org/officeDocument/2006/relationships/hyperlink" Target="https://www.iea.org/reports/world-energy-outlook-2022" TargetMode="External"/><Relationship Id="rId5" Type="http://schemas.openxmlformats.org/officeDocument/2006/relationships/hyperlink" Target="https://www.cmegroup.com/markets/energy/crude-oil/light-sweet-crude.html" TargetMode="External"/><Relationship Id="rId15" Type="http://schemas.openxmlformats.org/officeDocument/2006/relationships/drawing" Target="../drawings/drawing9.xml"/><Relationship Id="rId10" Type="http://schemas.openxmlformats.org/officeDocument/2006/relationships/hyperlink" Target="https://www.iea.org/reports/world-energy-outlook-2022" TargetMode="External"/><Relationship Id="rId4" Type="http://schemas.openxmlformats.org/officeDocument/2006/relationships/hyperlink" Target="https://www.cmegroup.com/markets/energy/coal/coal-api-2-cif-ara-argus-mccloskey.html" TargetMode="External"/><Relationship Id="rId9" Type="http://schemas.openxmlformats.org/officeDocument/2006/relationships/hyperlink" Target="https://www.iea.org/reports/world-energy-outlook-2022"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P44"/>
  <sheetViews>
    <sheetView showGridLines="0" topLeftCell="A30" zoomScale="70" zoomScaleNormal="70" workbookViewId="0">
      <selection activeCell="D44" sqref="D44"/>
    </sheetView>
  </sheetViews>
  <sheetFormatPr defaultRowHeight="14.4" x14ac:dyDescent="0.3"/>
  <cols>
    <col min="1" max="1" width="2.5546875" customWidth="1"/>
    <col min="2" max="2" width="3.44140625" customWidth="1"/>
    <col min="3" max="3" width="3" customWidth="1"/>
    <col min="4" max="4" width="16.88671875" customWidth="1"/>
    <col min="5" max="5" width="18.88671875" customWidth="1"/>
  </cols>
  <sheetData>
    <row r="2" spans="2:7" ht="25.8" x14ac:dyDescent="0.5">
      <c r="E2" s="34"/>
      <c r="F2" s="34" t="s">
        <v>0</v>
      </c>
    </row>
    <row r="3" spans="2:7" ht="9.75" customHeight="1" x14ac:dyDescent="0.3"/>
    <row r="4" spans="2:7" ht="18" x14ac:dyDescent="0.35">
      <c r="E4" s="1"/>
    </row>
    <row r="6" spans="2:7" ht="8.25" customHeight="1" x14ac:dyDescent="0.3"/>
    <row r="8" spans="2:7" x14ac:dyDescent="0.3">
      <c r="D8" t="s">
        <v>1</v>
      </c>
    </row>
    <row r="10" spans="2:7" x14ac:dyDescent="0.3">
      <c r="D10" s="29" t="s">
        <v>2</v>
      </c>
    </row>
    <row r="11" spans="2:7" x14ac:dyDescent="0.3">
      <c r="D11" s="25"/>
    </row>
    <row r="12" spans="2:7" x14ac:dyDescent="0.3">
      <c r="D12" s="29" t="s">
        <v>3</v>
      </c>
    </row>
    <row r="13" spans="2:7" x14ac:dyDescent="0.3">
      <c r="D13" s="25" t="s">
        <v>4</v>
      </c>
    </row>
    <row r="14" spans="2:7" x14ac:dyDescent="0.3">
      <c r="D14" s="25"/>
    </row>
    <row r="15" spans="2:7" x14ac:dyDescent="0.3">
      <c r="D15" s="11"/>
    </row>
    <row r="16" spans="2:7" x14ac:dyDescent="0.3">
      <c r="B16" s="986" t="s">
        <v>5</v>
      </c>
      <c r="C16" s="986"/>
      <c r="D16" s="986"/>
      <c r="E16" s="986"/>
      <c r="F16" s="986"/>
      <c r="G16" s="986"/>
    </row>
    <row r="17" spans="2:6" ht="12.6" customHeight="1" x14ac:dyDescent="0.3"/>
    <row r="18" spans="2:6" ht="14.1" customHeight="1" x14ac:dyDescent="0.3">
      <c r="C18" s="30" t="s">
        <v>6</v>
      </c>
    </row>
    <row r="19" spans="2:6" ht="14.1" customHeight="1" x14ac:dyDescent="0.3">
      <c r="B19" s="943"/>
      <c r="C19" s="30"/>
      <c r="D19" s="62" t="s">
        <v>7</v>
      </c>
    </row>
    <row r="20" spans="2:6" ht="14.1" customHeight="1" x14ac:dyDescent="0.3">
      <c r="B20" s="943"/>
      <c r="C20" s="30"/>
      <c r="D20" s="62" t="s">
        <v>8</v>
      </c>
    </row>
    <row r="21" spans="2:6" ht="5.4" customHeight="1" x14ac:dyDescent="0.3">
      <c r="B21" s="943"/>
      <c r="C21" s="30"/>
    </row>
    <row r="22" spans="2:6" ht="14.1" customHeight="1" x14ac:dyDescent="0.3">
      <c r="B22" s="943"/>
      <c r="C22" s="30" t="s">
        <v>9</v>
      </c>
    </row>
    <row r="23" spans="2:6" ht="14.1" customHeight="1" x14ac:dyDescent="0.3">
      <c r="B23" s="943"/>
      <c r="C23" s="30"/>
      <c r="D23" s="62" t="s">
        <v>10</v>
      </c>
      <c r="F23" s="24"/>
    </row>
    <row r="24" spans="2:6" ht="6" customHeight="1" x14ac:dyDescent="0.3">
      <c r="B24" s="943"/>
      <c r="C24" s="43"/>
      <c r="D24" s="43"/>
    </row>
    <row r="25" spans="2:6" ht="14.1" customHeight="1" x14ac:dyDescent="0.3">
      <c r="B25" s="943"/>
      <c r="C25" s="30" t="s">
        <v>11</v>
      </c>
      <c r="F25" s="164"/>
    </row>
    <row r="26" spans="2:6" ht="14.1" customHeight="1" x14ac:dyDescent="0.3">
      <c r="B26" s="943"/>
      <c r="C26" s="30"/>
      <c r="D26" s="62" t="s">
        <v>12</v>
      </c>
    </row>
    <row r="27" spans="2:6" ht="14.1" customHeight="1" x14ac:dyDescent="0.3">
      <c r="B27" s="943"/>
      <c r="C27" s="30"/>
      <c r="D27" s="62" t="s">
        <v>13</v>
      </c>
      <c r="F27" s="24"/>
    </row>
    <row r="28" spans="2:6" ht="14.1" customHeight="1" x14ac:dyDescent="0.3">
      <c r="B28" s="943"/>
      <c r="C28" s="30"/>
      <c r="D28" s="62" t="s">
        <v>14</v>
      </c>
      <c r="F28" s="164"/>
    </row>
    <row r="29" spans="2:6" ht="14.1" customHeight="1" x14ac:dyDescent="0.3">
      <c r="B29" s="943"/>
      <c r="C29" s="30"/>
      <c r="D29" s="62" t="s">
        <v>15</v>
      </c>
      <c r="F29" s="164"/>
    </row>
    <row r="30" spans="2:6" x14ac:dyDescent="0.3">
      <c r="B30" s="24"/>
    </row>
    <row r="31" spans="2:6" x14ac:dyDescent="0.3">
      <c r="B31" s="943"/>
      <c r="C31" s="130" t="s">
        <v>16</v>
      </c>
      <c r="D31" s="130"/>
    </row>
    <row r="32" spans="2:6" x14ac:dyDescent="0.3">
      <c r="B32" s="943"/>
      <c r="C32" s="40"/>
      <c r="D32" s="62" t="s">
        <v>17</v>
      </c>
      <c r="F32" s="24"/>
    </row>
    <row r="33" spans="2:16" x14ac:dyDescent="0.3">
      <c r="B33" s="943"/>
      <c r="C33" s="40"/>
      <c r="D33" s="62" t="s">
        <v>18</v>
      </c>
      <c r="F33" s="24"/>
    </row>
    <row r="34" spans="2:16" x14ac:dyDescent="0.3">
      <c r="B34" s="943"/>
      <c r="C34" s="43"/>
      <c r="D34" s="62" t="s">
        <v>19</v>
      </c>
      <c r="F34" s="164"/>
    </row>
    <row r="35" spans="2:16" x14ac:dyDescent="0.3">
      <c r="B35" s="943"/>
      <c r="C35" s="43"/>
      <c r="D35" s="62" t="s">
        <v>20</v>
      </c>
      <c r="F35" s="164"/>
    </row>
    <row r="36" spans="2:16" x14ac:dyDescent="0.3">
      <c r="B36" s="943"/>
      <c r="C36" s="43"/>
    </row>
    <row r="37" spans="2:16" x14ac:dyDescent="0.3">
      <c r="B37" s="943"/>
      <c r="C37" s="30" t="s">
        <v>21</v>
      </c>
      <c r="D37" s="43"/>
      <c r="P37" s="30"/>
    </row>
    <row r="38" spans="2:16" x14ac:dyDescent="0.3">
      <c r="B38" s="943"/>
      <c r="C38" s="40"/>
      <c r="D38" s="40" t="s">
        <v>22</v>
      </c>
    </row>
    <row r="39" spans="2:16" x14ac:dyDescent="0.3">
      <c r="B39" s="943"/>
      <c r="C39" s="40"/>
      <c r="D39" s="40"/>
    </row>
    <row r="40" spans="2:16" x14ac:dyDescent="0.3">
      <c r="B40" s="943"/>
      <c r="C40" s="30" t="s">
        <v>23</v>
      </c>
    </row>
    <row r="41" spans="2:16" x14ac:dyDescent="0.3">
      <c r="B41" s="943"/>
      <c r="D41" s="136" t="s">
        <v>24</v>
      </c>
      <c r="F41" s="24"/>
    </row>
    <row r="43" spans="2:16" x14ac:dyDescent="0.3">
      <c r="C43" s="30" t="s">
        <v>25</v>
      </c>
    </row>
    <row r="44" spans="2:16" x14ac:dyDescent="0.3">
      <c r="D44" s="136" t="s">
        <v>26</v>
      </c>
    </row>
  </sheetData>
  <mergeCells count="1">
    <mergeCell ref="B16:G16"/>
  </mergeCells>
  <hyperlinks>
    <hyperlink ref="D19" location="'1.1. Ind. mod. thermal prod. '!A1" display="1.1. Invidividually modelled thermal generation "/>
    <hyperlink ref="D20" location="'1.2. Renewable and non-CIPU'!A1" display="1.2. Renewable energy sources and non-CIPU thermal units"/>
    <hyperlink ref="D26" location="'3.1 Storage'!A1" display="3.1. Storage"/>
    <hyperlink ref="D23" location="'2.1. Tot. elec. demand'!A1" display="2.1. Total electricity demand"/>
    <hyperlink ref="D28" location="'3.3. DSR end-user'!A1" display="3.3. End-user flexibility"/>
    <hyperlink ref="D38" location="'5.1. Flow based domains'!A1" display="5.1. Main assumptions for flow-based domains"/>
    <hyperlink ref="D41" location="'6.1. Data for other countries'!A1" display="6.1. Data for other countries"/>
    <hyperlink ref="D32" location="'4.1. Fuel and CO2 prices'!A1" display="4.1. Fuel and CO2 prices"/>
    <hyperlink ref="D33" location="'4.2. Investment costs'!A1" display="4.2. Investment costs"/>
    <hyperlink ref="D34" location="'4.3. Outages'!A1" display="4.3. Outages"/>
    <hyperlink ref="D35" location="'4.4. Flex. charact.'!A1" display="4.4. Flexibility characteristics"/>
    <hyperlink ref="D27" location="'3.2. DSR industry'!A1" display="3.2. Industry flexibility"/>
    <hyperlink ref="D29" location="'3.4. Electrolysers'!A1" display="3.4. Electrolysers"/>
    <hyperlink ref="D44" location="'7.1. LCT'!A1" display="7.1. Dataset for LCT"/>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99"/>
  </sheetPr>
  <dimension ref="B2:Q85"/>
  <sheetViews>
    <sheetView showGridLines="0" zoomScale="70" zoomScaleNormal="70" workbookViewId="0">
      <selection activeCell="N19" sqref="N19"/>
    </sheetView>
  </sheetViews>
  <sheetFormatPr defaultColWidth="9.109375" defaultRowHeight="14.4" x14ac:dyDescent="0.3"/>
  <cols>
    <col min="1" max="1" width="4.109375" customWidth="1"/>
    <col min="2" max="2" width="43.44140625" customWidth="1"/>
    <col min="3" max="3" width="31.44140625" style="15" customWidth="1"/>
    <col min="4" max="4" width="32" style="15" customWidth="1"/>
    <col min="5" max="9" width="10.88671875" style="15" customWidth="1"/>
    <col min="10" max="10" width="10.88671875" customWidth="1"/>
    <col min="11" max="14" width="11.5546875" customWidth="1"/>
    <col min="15" max="15" width="15.44140625" bestFit="1" customWidth="1"/>
    <col min="16" max="16" width="25.5546875" bestFit="1" customWidth="1"/>
  </cols>
  <sheetData>
    <row r="2" spans="2:12" ht="24" thickBot="1" x14ac:dyDescent="0.5">
      <c r="B2" s="3" t="s">
        <v>621</v>
      </c>
      <c r="D2" s="1115"/>
      <c r="E2" s="1115"/>
      <c r="F2" s="1115"/>
    </row>
    <row r="3" spans="2:12" x14ac:dyDescent="0.3">
      <c r="D3" s="1115"/>
      <c r="E3" s="1115"/>
      <c r="F3" s="1115"/>
    </row>
    <row r="4" spans="2:12" ht="15" customHeight="1" x14ac:dyDescent="0.3">
      <c r="B4" s="19" t="s">
        <v>622</v>
      </c>
    </row>
    <row r="5" spans="2:12" ht="15" customHeight="1" x14ac:dyDescent="0.3">
      <c r="B5" s="19" t="s">
        <v>623</v>
      </c>
    </row>
    <row r="6" spans="2:12" ht="15" customHeight="1" x14ac:dyDescent="0.3">
      <c r="B6" s="19" t="s">
        <v>624</v>
      </c>
    </row>
    <row r="7" spans="2:12" ht="15" customHeight="1" x14ac:dyDescent="0.3">
      <c r="B7" s="19" t="s">
        <v>625</v>
      </c>
    </row>
    <row r="8" spans="2:12" ht="15" customHeight="1" x14ac:dyDescent="0.3">
      <c r="B8" s="19" t="s">
        <v>626</v>
      </c>
    </row>
    <row r="9" spans="2:12" ht="15" customHeight="1" x14ac:dyDescent="0.3">
      <c r="C9" s="586">
        <v>2019</v>
      </c>
      <c r="D9" s="586">
        <v>2020</v>
      </c>
      <c r="E9" s="586">
        <v>2021</v>
      </c>
      <c r="F9" s="586" t="s">
        <v>627</v>
      </c>
      <c r="G9" s="586" t="s">
        <v>258</v>
      </c>
    </row>
    <row r="10" spans="2:12" ht="15" customHeight="1" x14ac:dyDescent="0.3">
      <c r="B10" s="444" t="s">
        <v>628</v>
      </c>
      <c r="C10" s="587">
        <v>7.6E-3</v>
      </c>
      <c r="D10" s="587">
        <v>4.1000000000000003E-3</v>
      </c>
      <c r="E10" s="587">
        <v>5.7099999999999998E-2</v>
      </c>
      <c r="F10" s="587">
        <v>9.0800000000000006E-2</v>
      </c>
      <c r="G10" s="62" t="s">
        <v>629</v>
      </c>
      <c r="H10" s="588" t="s">
        <v>630</v>
      </c>
      <c r="I10" s="589"/>
      <c r="J10" s="589"/>
      <c r="K10" s="589"/>
      <c r="L10" s="589"/>
    </row>
    <row r="11" spans="2:12" ht="15" customHeight="1" x14ac:dyDescent="0.3">
      <c r="B11" s="444" t="s">
        <v>631</v>
      </c>
      <c r="C11" s="590">
        <v>1.1107805216701516E-2</v>
      </c>
      <c r="D11" s="590">
        <v>-2.8543403629230024E-2</v>
      </c>
      <c r="E11" s="590">
        <v>0.19850565428109856</v>
      </c>
      <c r="F11" s="590">
        <v>0.13942712721145734</v>
      </c>
      <c r="G11" s="62" t="s">
        <v>632</v>
      </c>
      <c r="H11" s="588" t="s">
        <v>633</v>
      </c>
    </row>
    <row r="12" spans="2:12" ht="15" customHeight="1" x14ac:dyDescent="0.3">
      <c r="B12" s="444" t="s">
        <v>634</v>
      </c>
      <c r="C12" s="590">
        <v>1.6233405244664878E-2</v>
      </c>
      <c r="D12" s="590">
        <v>1.9424146161944655E-2</v>
      </c>
      <c r="E12" s="590">
        <v>3.0793324618811235E-2</v>
      </c>
      <c r="F12" s="590">
        <v>4.0821768347826248E-2</v>
      </c>
      <c r="G12" s="62" t="s">
        <v>635</v>
      </c>
      <c r="H12" s="588" t="s">
        <v>636</v>
      </c>
    </row>
    <row r="13" spans="2:12" ht="15" customHeight="1" x14ac:dyDescent="0.3">
      <c r="B13" s="19"/>
      <c r="F13"/>
    </row>
    <row r="14" spans="2:12" ht="15" customHeight="1" x14ac:dyDescent="0.3">
      <c r="B14" s="19" t="s">
        <v>637</v>
      </c>
    </row>
    <row r="15" spans="2:12" ht="15" customHeight="1" x14ac:dyDescent="0.3">
      <c r="B15" s="19"/>
    </row>
    <row r="16" spans="2:12" ht="15" customHeight="1" thickBot="1" x14ac:dyDescent="0.35">
      <c r="B16" s="591" t="s">
        <v>638</v>
      </c>
      <c r="E16" s="592"/>
    </row>
    <row r="17" spans="2:17" ht="30.75" customHeight="1" x14ac:dyDescent="0.3">
      <c r="B17" s="1116" t="s">
        <v>639</v>
      </c>
      <c r="C17" s="1117"/>
      <c r="D17" s="1122" t="s">
        <v>640</v>
      </c>
      <c r="E17" s="1124" t="s">
        <v>641</v>
      </c>
      <c r="F17" s="1125"/>
      <c r="G17" s="1125"/>
      <c r="H17" s="1126"/>
      <c r="I17" s="1124" t="s">
        <v>642</v>
      </c>
      <c r="J17" s="1126"/>
      <c r="K17" s="1111" t="s">
        <v>643</v>
      </c>
      <c r="L17" s="1112"/>
      <c r="M17" s="1101" t="s">
        <v>644</v>
      </c>
      <c r="N17" s="1102"/>
      <c r="O17" s="1105" t="s">
        <v>28</v>
      </c>
      <c r="P17" s="1106"/>
    </row>
    <row r="18" spans="2:17" ht="36.75" customHeight="1" thickBot="1" x14ac:dyDescent="0.35">
      <c r="B18" s="1118"/>
      <c r="C18" s="1119"/>
      <c r="D18" s="1123"/>
      <c r="E18" s="1127"/>
      <c r="F18" s="1128"/>
      <c r="G18" s="1128"/>
      <c r="H18" s="1129"/>
      <c r="I18" s="1127"/>
      <c r="J18" s="1129"/>
      <c r="K18" s="1113"/>
      <c r="L18" s="1114"/>
      <c r="M18" s="1103"/>
      <c r="N18" s="1104"/>
      <c r="O18" s="1107"/>
      <c r="P18" s="1108"/>
    </row>
    <row r="19" spans="2:17" ht="36.75" customHeight="1" thickBot="1" x14ac:dyDescent="0.35">
      <c r="B19" s="1120"/>
      <c r="C19" s="1121"/>
      <c r="D19" s="585"/>
      <c r="E19" s="593" t="s">
        <v>645</v>
      </c>
      <c r="F19" s="594" t="s">
        <v>646</v>
      </c>
      <c r="G19" s="595" t="s">
        <v>647</v>
      </c>
      <c r="H19" s="596" t="s">
        <v>648</v>
      </c>
      <c r="I19" s="597" t="s">
        <v>649</v>
      </c>
      <c r="J19" s="596" t="s">
        <v>648</v>
      </c>
      <c r="K19" s="597" t="s">
        <v>649</v>
      </c>
      <c r="L19" s="596" t="s">
        <v>648</v>
      </c>
      <c r="M19" s="598" t="s">
        <v>649</v>
      </c>
      <c r="N19" s="596" t="s">
        <v>648</v>
      </c>
      <c r="O19" s="599" t="s">
        <v>650</v>
      </c>
      <c r="P19" s="600" t="s">
        <v>651</v>
      </c>
    </row>
    <row r="20" spans="2:17" ht="15" customHeight="1" x14ac:dyDescent="0.3">
      <c r="B20" s="1088" t="s">
        <v>652</v>
      </c>
      <c r="C20" s="78" t="s">
        <v>66</v>
      </c>
      <c r="D20" s="1090" t="s">
        <v>653</v>
      </c>
      <c r="E20" s="1099" t="s">
        <v>61</v>
      </c>
      <c r="F20" s="1100"/>
      <c r="G20" s="1100"/>
      <c r="H20" s="601" t="s">
        <v>61</v>
      </c>
      <c r="I20" s="602">
        <v>40</v>
      </c>
      <c r="J20" s="603">
        <v>30</v>
      </c>
      <c r="K20" s="602" t="s">
        <v>61</v>
      </c>
      <c r="L20" s="604" t="s">
        <v>61</v>
      </c>
      <c r="M20" s="605">
        <v>8.4000000000000005E-2</v>
      </c>
      <c r="N20" s="606">
        <v>7.0000000000000007E-2</v>
      </c>
      <c r="O20" s="607"/>
      <c r="P20" s="608" t="s">
        <v>654</v>
      </c>
    </row>
    <row r="21" spans="2:17" ht="15" customHeight="1" x14ac:dyDescent="0.3">
      <c r="B21" s="1109"/>
      <c r="C21" s="81" t="s">
        <v>655</v>
      </c>
      <c r="D21" s="1110"/>
      <c r="E21" s="1099" t="s">
        <v>61</v>
      </c>
      <c r="F21" s="1100" t="s">
        <v>61</v>
      </c>
      <c r="G21" s="1100" t="s">
        <v>61</v>
      </c>
      <c r="H21" s="601" t="s">
        <v>61</v>
      </c>
      <c r="I21" s="602">
        <v>25</v>
      </c>
      <c r="J21" s="603">
        <v>20</v>
      </c>
      <c r="K21" s="602" t="s">
        <v>61</v>
      </c>
      <c r="L21" s="604" t="s">
        <v>61</v>
      </c>
      <c r="M21" s="605">
        <v>8.4000000000000005E-2</v>
      </c>
      <c r="N21" s="606">
        <v>0.08</v>
      </c>
      <c r="O21" s="607"/>
      <c r="P21" s="608" t="s">
        <v>654</v>
      </c>
    </row>
    <row r="22" spans="2:17" ht="15" customHeight="1" x14ac:dyDescent="0.3">
      <c r="B22" s="1109"/>
      <c r="C22" s="81" t="s">
        <v>77</v>
      </c>
      <c r="D22" s="609" t="s">
        <v>656</v>
      </c>
      <c r="E22" s="1099" t="s">
        <v>61</v>
      </c>
      <c r="F22" s="1100" t="s">
        <v>61</v>
      </c>
      <c r="G22" s="1100" t="s">
        <v>61</v>
      </c>
      <c r="H22" s="601" t="s">
        <v>61</v>
      </c>
      <c r="I22" s="602">
        <v>70</v>
      </c>
      <c r="J22" s="603">
        <v>60</v>
      </c>
      <c r="K22" s="602" t="s">
        <v>61</v>
      </c>
      <c r="L22" s="604" t="s">
        <v>61</v>
      </c>
      <c r="M22" s="605">
        <v>8.4000000000000005E-2</v>
      </c>
      <c r="N22" s="606">
        <v>7.0000000000000007E-2</v>
      </c>
      <c r="O22" s="607"/>
      <c r="P22" s="608" t="s">
        <v>657</v>
      </c>
    </row>
    <row r="23" spans="2:17" ht="15" customHeight="1" x14ac:dyDescent="0.3">
      <c r="B23" s="1109"/>
      <c r="C23" s="81" t="s">
        <v>658</v>
      </c>
      <c r="D23" s="609" t="s">
        <v>656</v>
      </c>
      <c r="E23" s="1099" t="s">
        <v>61</v>
      </c>
      <c r="F23" s="1100" t="s">
        <v>61</v>
      </c>
      <c r="G23" s="1100" t="s">
        <v>61</v>
      </c>
      <c r="H23" s="601" t="s">
        <v>61</v>
      </c>
      <c r="I23" s="602">
        <v>35</v>
      </c>
      <c r="J23" s="603">
        <v>30</v>
      </c>
      <c r="K23" s="602" t="s">
        <v>61</v>
      </c>
      <c r="L23" s="604" t="s">
        <v>61</v>
      </c>
      <c r="M23" s="605">
        <v>8.4000000000000005E-2</v>
      </c>
      <c r="N23" s="606">
        <v>0.08</v>
      </c>
      <c r="O23" s="607"/>
      <c r="P23" s="608" t="s">
        <v>654</v>
      </c>
    </row>
    <row r="24" spans="2:17" ht="15" customHeight="1" x14ac:dyDescent="0.3">
      <c r="B24" s="1109"/>
      <c r="C24" s="81" t="s">
        <v>659</v>
      </c>
      <c r="D24" s="609" t="s">
        <v>660</v>
      </c>
      <c r="E24" s="1099" t="s">
        <v>61</v>
      </c>
      <c r="F24" s="1100" t="s">
        <v>61</v>
      </c>
      <c r="G24" s="1100" t="s">
        <v>61</v>
      </c>
      <c r="H24" s="601" t="s">
        <v>61</v>
      </c>
      <c r="I24" s="602">
        <v>12</v>
      </c>
      <c r="J24" s="603">
        <v>10</v>
      </c>
      <c r="K24" s="602" t="s">
        <v>61</v>
      </c>
      <c r="L24" s="604" t="s">
        <v>61</v>
      </c>
      <c r="M24" s="605" t="s">
        <v>661</v>
      </c>
      <c r="N24" s="606">
        <v>0.09</v>
      </c>
      <c r="O24" s="607"/>
      <c r="P24" s="608" t="s">
        <v>657</v>
      </c>
      <c r="Q24" s="19" t="s">
        <v>662</v>
      </c>
    </row>
    <row r="25" spans="2:17" ht="15" customHeight="1" thickBot="1" x14ac:dyDescent="0.35">
      <c r="B25" s="1089"/>
      <c r="C25" s="82" t="s">
        <v>663</v>
      </c>
      <c r="D25" s="610" t="s">
        <v>656</v>
      </c>
      <c r="E25" s="1099" t="s">
        <v>61</v>
      </c>
      <c r="F25" s="1100" t="s">
        <v>61</v>
      </c>
      <c r="G25" s="1100" t="s">
        <v>61</v>
      </c>
      <c r="H25" s="601" t="s">
        <v>61</v>
      </c>
      <c r="I25" s="602">
        <v>22</v>
      </c>
      <c r="J25" s="611">
        <v>30</v>
      </c>
      <c r="K25" s="612" t="s">
        <v>61</v>
      </c>
      <c r="L25" s="613" t="s">
        <v>61</v>
      </c>
      <c r="M25" s="614">
        <v>7.5999999999999998E-2</v>
      </c>
      <c r="N25" s="615">
        <v>0.09</v>
      </c>
      <c r="O25" s="616"/>
      <c r="P25" s="617" t="s">
        <v>654</v>
      </c>
    </row>
    <row r="26" spans="2:17" ht="15" customHeight="1" thickBot="1" x14ac:dyDescent="0.35">
      <c r="B26" s="618"/>
      <c r="C26" s="619"/>
      <c r="D26" s="620"/>
      <c r="E26" s="86"/>
      <c r="F26" s="86"/>
      <c r="G26" s="86"/>
      <c r="H26" s="86"/>
      <c r="I26" s="86"/>
      <c r="J26" s="86"/>
      <c r="K26" s="621"/>
      <c r="L26" s="86"/>
      <c r="M26" s="622"/>
      <c r="N26" s="623"/>
      <c r="O26" s="621"/>
      <c r="P26" s="624"/>
    </row>
    <row r="27" spans="2:17" ht="15" customHeight="1" x14ac:dyDescent="0.3">
      <c r="B27" s="1088" t="s">
        <v>664</v>
      </c>
      <c r="C27" s="78" t="s">
        <v>66</v>
      </c>
      <c r="D27" s="1090" t="s">
        <v>665</v>
      </c>
      <c r="E27" s="1092">
        <v>120</v>
      </c>
      <c r="F27" s="1093"/>
      <c r="G27" s="1093"/>
      <c r="H27" s="625">
        <v>100</v>
      </c>
      <c r="I27" s="626">
        <v>37</v>
      </c>
      <c r="J27" s="627">
        <v>30</v>
      </c>
      <c r="K27" s="626">
        <v>15</v>
      </c>
      <c r="L27" s="628">
        <v>15</v>
      </c>
      <c r="M27" s="629">
        <v>9.4E-2</v>
      </c>
      <c r="N27" s="630">
        <v>9.5000000000000001E-2</v>
      </c>
      <c r="O27" s="631" t="s">
        <v>666</v>
      </c>
      <c r="P27" s="632" t="s">
        <v>654</v>
      </c>
    </row>
    <row r="28" spans="2:17" ht="15" customHeight="1" thickBot="1" x14ac:dyDescent="0.35">
      <c r="B28" s="1089"/>
      <c r="C28" s="82" t="s">
        <v>655</v>
      </c>
      <c r="D28" s="1091"/>
      <c r="E28" s="1094">
        <v>100</v>
      </c>
      <c r="F28" s="1095"/>
      <c r="G28" s="1095"/>
      <c r="H28" s="633">
        <v>80</v>
      </c>
      <c r="I28" s="612">
        <v>50</v>
      </c>
      <c r="J28" s="611">
        <v>40</v>
      </c>
      <c r="K28" s="612">
        <v>15</v>
      </c>
      <c r="L28" s="613">
        <v>15</v>
      </c>
      <c r="M28" s="614">
        <v>0.104</v>
      </c>
      <c r="N28" s="615">
        <v>0.11</v>
      </c>
      <c r="O28" s="634" t="s">
        <v>666</v>
      </c>
      <c r="P28" s="617" t="s">
        <v>654</v>
      </c>
    </row>
    <row r="29" spans="2:17" ht="15" customHeight="1" thickBot="1" x14ac:dyDescent="0.35">
      <c r="B29" s="618"/>
      <c r="C29" s="619"/>
      <c r="D29" s="620"/>
      <c r="E29" s="86"/>
      <c r="F29" s="86"/>
      <c r="G29" s="86"/>
      <c r="H29" s="86"/>
      <c r="I29" s="86"/>
      <c r="J29" s="86"/>
      <c r="K29" s="86"/>
      <c r="L29" s="86"/>
      <c r="M29" s="622"/>
      <c r="N29" s="623"/>
      <c r="O29" s="86"/>
      <c r="P29" s="624"/>
    </row>
    <row r="30" spans="2:17" ht="15" customHeight="1" x14ac:dyDescent="0.3">
      <c r="B30" s="1096" t="s">
        <v>667</v>
      </c>
      <c r="C30" s="78" t="s">
        <v>668</v>
      </c>
      <c r="D30" s="635" t="s">
        <v>669</v>
      </c>
      <c r="E30" s="1092">
        <v>380</v>
      </c>
      <c r="F30" s="1093">
        <v>380</v>
      </c>
      <c r="G30" s="1093">
        <v>380</v>
      </c>
      <c r="H30" s="625">
        <v>300</v>
      </c>
      <c r="I30" s="626">
        <v>20</v>
      </c>
      <c r="J30" s="627">
        <v>15</v>
      </c>
      <c r="K30" s="626">
        <v>15</v>
      </c>
      <c r="L30" s="628">
        <v>15</v>
      </c>
      <c r="M30" s="629">
        <v>0.114</v>
      </c>
      <c r="N30" s="630">
        <v>0.14000000000000001</v>
      </c>
      <c r="O30" s="631" t="s">
        <v>666</v>
      </c>
      <c r="P30" s="632" t="s">
        <v>654</v>
      </c>
    </row>
    <row r="31" spans="2:17" ht="15" customHeight="1" thickBot="1" x14ac:dyDescent="0.35">
      <c r="B31" s="1097"/>
      <c r="C31" s="81" t="s">
        <v>670</v>
      </c>
      <c r="D31" s="609" t="s">
        <v>669</v>
      </c>
      <c r="E31" s="1094">
        <v>500</v>
      </c>
      <c r="F31" s="1095">
        <v>500</v>
      </c>
      <c r="G31" s="1095">
        <v>500</v>
      </c>
      <c r="H31" s="601">
        <v>400</v>
      </c>
      <c r="I31" s="602">
        <v>20</v>
      </c>
      <c r="J31" s="603">
        <v>15</v>
      </c>
      <c r="K31" s="612">
        <v>15</v>
      </c>
      <c r="L31" s="604">
        <v>15</v>
      </c>
      <c r="M31" s="614">
        <v>0.114</v>
      </c>
      <c r="N31" s="606">
        <v>0.14000000000000001</v>
      </c>
      <c r="O31" s="634" t="s">
        <v>666</v>
      </c>
      <c r="P31" s="608" t="s">
        <v>654</v>
      </c>
    </row>
    <row r="32" spans="2:17" ht="15" customHeight="1" x14ac:dyDescent="0.3">
      <c r="B32" s="1097"/>
      <c r="C32" s="1076" t="s">
        <v>66</v>
      </c>
      <c r="D32" s="635" t="s">
        <v>671</v>
      </c>
      <c r="E32" s="1092">
        <v>750</v>
      </c>
      <c r="F32" s="1093"/>
      <c r="G32" s="1093"/>
      <c r="H32" s="625">
        <v>600</v>
      </c>
      <c r="I32" s="626">
        <v>30</v>
      </c>
      <c r="J32" s="627">
        <v>25</v>
      </c>
      <c r="K32" s="626">
        <v>20</v>
      </c>
      <c r="L32" s="628">
        <v>20</v>
      </c>
      <c r="M32" s="629">
        <v>9.9000000000000005E-2</v>
      </c>
      <c r="N32" s="630">
        <v>0.12</v>
      </c>
      <c r="O32" s="631" t="s">
        <v>666</v>
      </c>
      <c r="P32" s="632" t="s">
        <v>654</v>
      </c>
    </row>
    <row r="33" spans="2:17" ht="15" customHeight="1" x14ac:dyDescent="0.3">
      <c r="B33" s="1097"/>
      <c r="C33" s="1077"/>
      <c r="D33" s="609" t="s">
        <v>672</v>
      </c>
      <c r="E33" s="1099">
        <v>950</v>
      </c>
      <c r="F33" s="1100"/>
      <c r="G33" s="1100"/>
      <c r="H33" s="601">
        <v>750</v>
      </c>
      <c r="I33" s="602">
        <v>35</v>
      </c>
      <c r="J33" s="603">
        <v>30</v>
      </c>
      <c r="K33" s="602">
        <v>20</v>
      </c>
      <c r="L33" s="604">
        <v>20</v>
      </c>
      <c r="M33" s="605">
        <v>9.9000000000000005E-2</v>
      </c>
      <c r="N33" s="606">
        <v>0.12</v>
      </c>
      <c r="O33" s="636" t="s">
        <v>666</v>
      </c>
      <c r="P33" s="608" t="s">
        <v>654</v>
      </c>
    </row>
    <row r="34" spans="2:17" ht="15" customHeight="1" thickBot="1" x14ac:dyDescent="0.35">
      <c r="B34" s="1097"/>
      <c r="C34" s="1078"/>
      <c r="D34" s="610" t="s">
        <v>673</v>
      </c>
      <c r="E34" s="1094">
        <v>1050</v>
      </c>
      <c r="F34" s="1095"/>
      <c r="G34" s="1095"/>
      <c r="H34" s="601">
        <v>850</v>
      </c>
      <c r="I34" s="602">
        <v>35</v>
      </c>
      <c r="J34" s="603">
        <v>30</v>
      </c>
      <c r="K34" s="612">
        <v>20</v>
      </c>
      <c r="L34" s="604">
        <v>20</v>
      </c>
      <c r="M34" s="614">
        <v>9.9000000000000005E-2</v>
      </c>
      <c r="N34" s="606">
        <v>0.12</v>
      </c>
      <c r="O34" s="634" t="s">
        <v>666</v>
      </c>
      <c r="P34" s="608" t="s">
        <v>654</v>
      </c>
    </row>
    <row r="35" spans="2:17" ht="15" customHeight="1" x14ac:dyDescent="0.3">
      <c r="B35" s="1097"/>
      <c r="C35" s="1076" t="s">
        <v>655</v>
      </c>
      <c r="D35" s="635" t="s">
        <v>674</v>
      </c>
      <c r="E35" s="1092">
        <v>500</v>
      </c>
      <c r="F35" s="1093"/>
      <c r="G35" s="1093"/>
      <c r="H35" s="625">
        <v>400</v>
      </c>
      <c r="I35" s="627">
        <v>25</v>
      </c>
      <c r="J35" s="627">
        <v>20</v>
      </c>
      <c r="K35" s="626">
        <v>20</v>
      </c>
      <c r="L35" s="628">
        <v>20</v>
      </c>
      <c r="M35" s="629">
        <v>0.114</v>
      </c>
      <c r="N35" s="630">
        <v>0.14000000000000001</v>
      </c>
      <c r="O35" s="631" t="s">
        <v>666</v>
      </c>
      <c r="P35" s="632" t="s">
        <v>654</v>
      </c>
    </row>
    <row r="36" spans="2:17" ht="15" customHeight="1" thickBot="1" x14ac:dyDescent="0.35">
      <c r="B36" s="1097"/>
      <c r="C36" s="1078"/>
      <c r="D36" s="610" t="s">
        <v>675</v>
      </c>
      <c r="E36" s="1094">
        <v>600</v>
      </c>
      <c r="F36" s="1095"/>
      <c r="G36" s="1095"/>
      <c r="H36" s="633">
        <v>500</v>
      </c>
      <c r="I36" s="611">
        <v>25</v>
      </c>
      <c r="J36" s="611">
        <v>20</v>
      </c>
      <c r="K36" s="612">
        <v>20</v>
      </c>
      <c r="L36" s="613">
        <v>20</v>
      </c>
      <c r="M36" s="614">
        <v>0.114</v>
      </c>
      <c r="N36" s="615">
        <v>0.14000000000000001</v>
      </c>
      <c r="O36" s="634" t="s">
        <v>666</v>
      </c>
      <c r="P36" s="617" t="s">
        <v>654</v>
      </c>
    </row>
    <row r="37" spans="2:17" ht="15" customHeight="1" thickBot="1" x14ac:dyDescent="0.35">
      <c r="B37" s="1097"/>
      <c r="C37" s="81" t="s">
        <v>77</v>
      </c>
      <c r="D37" s="609" t="s">
        <v>669</v>
      </c>
      <c r="E37" s="1069">
        <v>1000</v>
      </c>
      <c r="F37" s="1070"/>
      <c r="G37" s="1070"/>
      <c r="H37" s="601">
        <v>800</v>
      </c>
      <c r="I37" s="603">
        <v>70</v>
      </c>
      <c r="J37" s="603">
        <v>60</v>
      </c>
      <c r="K37" s="637">
        <v>20</v>
      </c>
      <c r="L37" s="604">
        <v>20</v>
      </c>
      <c r="M37" s="622">
        <v>9.9000000000000005E-2</v>
      </c>
      <c r="N37" s="606">
        <v>0.12</v>
      </c>
      <c r="O37" s="638" t="s">
        <v>666</v>
      </c>
      <c r="P37" s="608" t="s">
        <v>676</v>
      </c>
    </row>
    <row r="38" spans="2:17" ht="15" customHeight="1" x14ac:dyDescent="0.3">
      <c r="B38" s="1097"/>
      <c r="C38" s="1076" t="s">
        <v>677</v>
      </c>
      <c r="D38" s="635" t="s">
        <v>678</v>
      </c>
      <c r="E38" s="1079" t="s">
        <v>679</v>
      </c>
      <c r="F38" s="1080"/>
      <c r="G38" s="1080"/>
      <c r="H38" s="1081"/>
      <c r="I38" s="639">
        <v>25</v>
      </c>
      <c r="J38" s="627">
        <v>20</v>
      </c>
      <c r="K38" s="626" t="s">
        <v>61</v>
      </c>
      <c r="L38" s="628" t="s">
        <v>61</v>
      </c>
      <c r="M38" s="629" t="s">
        <v>661</v>
      </c>
      <c r="N38" s="630">
        <v>0.14000000000000001</v>
      </c>
      <c r="O38" s="631" t="s">
        <v>666</v>
      </c>
      <c r="P38" s="632" t="s">
        <v>680</v>
      </c>
      <c r="Q38" s="19" t="s">
        <v>662</v>
      </c>
    </row>
    <row r="39" spans="2:17" ht="15" customHeight="1" x14ac:dyDescent="0.3">
      <c r="B39" s="1097"/>
      <c r="C39" s="1077"/>
      <c r="D39" s="609" t="s">
        <v>681</v>
      </c>
      <c r="E39" s="1082"/>
      <c r="F39" s="1083"/>
      <c r="G39" s="1083"/>
      <c r="H39" s="1084"/>
      <c r="I39" s="640">
        <v>50</v>
      </c>
      <c r="J39" s="603">
        <v>40</v>
      </c>
      <c r="K39" s="602" t="s">
        <v>61</v>
      </c>
      <c r="L39" s="604" t="s">
        <v>61</v>
      </c>
      <c r="M39" s="605" t="s">
        <v>661</v>
      </c>
      <c r="N39" s="606">
        <v>0.14000000000000001</v>
      </c>
      <c r="O39" s="636" t="s">
        <v>666</v>
      </c>
      <c r="P39" s="608" t="s">
        <v>680</v>
      </c>
      <c r="Q39" s="19" t="s">
        <v>662</v>
      </c>
    </row>
    <row r="40" spans="2:17" ht="15" customHeight="1" x14ac:dyDescent="0.3">
      <c r="B40" s="1097"/>
      <c r="C40" s="1077"/>
      <c r="D40" s="609" t="s">
        <v>682</v>
      </c>
      <c r="E40" s="1082"/>
      <c r="F40" s="1083"/>
      <c r="G40" s="1083"/>
      <c r="H40" s="1084"/>
      <c r="I40" s="640">
        <v>75</v>
      </c>
      <c r="J40" s="603">
        <v>60</v>
      </c>
      <c r="K40" s="602" t="s">
        <v>61</v>
      </c>
      <c r="L40" s="604" t="s">
        <v>61</v>
      </c>
      <c r="M40" s="605" t="s">
        <v>661</v>
      </c>
      <c r="N40" s="606">
        <v>0.153</v>
      </c>
      <c r="O40" s="636" t="s">
        <v>666</v>
      </c>
      <c r="P40" s="608" t="s">
        <v>680</v>
      </c>
      <c r="Q40" s="19" t="s">
        <v>662</v>
      </c>
    </row>
    <row r="41" spans="2:17" ht="15" customHeight="1" thickBot="1" x14ac:dyDescent="0.35">
      <c r="B41" s="1097"/>
      <c r="C41" s="1078"/>
      <c r="D41" s="610" t="s">
        <v>683</v>
      </c>
      <c r="E41" s="1085"/>
      <c r="F41" s="1086"/>
      <c r="G41" s="1086"/>
      <c r="H41" s="1087"/>
      <c r="I41" s="640">
        <v>100</v>
      </c>
      <c r="J41" s="603">
        <v>80</v>
      </c>
      <c r="K41" s="612" t="s">
        <v>61</v>
      </c>
      <c r="L41" s="604" t="s">
        <v>61</v>
      </c>
      <c r="M41" s="614" t="s">
        <v>661</v>
      </c>
      <c r="N41" s="606">
        <v>0.153</v>
      </c>
      <c r="O41" s="634" t="s">
        <v>666</v>
      </c>
      <c r="P41" s="608" t="s">
        <v>680</v>
      </c>
      <c r="Q41" s="19" t="s">
        <v>662</v>
      </c>
    </row>
    <row r="42" spans="2:17" ht="15" customHeight="1" x14ac:dyDescent="0.3">
      <c r="B42" s="1097"/>
      <c r="C42" s="1076" t="s">
        <v>684</v>
      </c>
      <c r="D42" s="635" t="s">
        <v>685</v>
      </c>
      <c r="E42" s="626">
        <v>400</v>
      </c>
      <c r="F42" s="641">
        <v>280</v>
      </c>
      <c r="G42" s="642">
        <v>260</v>
      </c>
      <c r="H42" s="625">
        <v>100</v>
      </c>
      <c r="I42" s="627">
        <v>15</v>
      </c>
      <c r="J42" s="627">
        <v>10</v>
      </c>
      <c r="K42" s="626">
        <v>15</v>
      </c>
      <c r="L42" s="628">
        <v>15</v>
      </c>
      <c r="M42" s="629">
        <v>8.4000000000000005E-2</v>
      </c>
      <c r="N42" s="630">
        <v>0.14000000000000001</v>
      </c>
      <c r="O42" s="631" t="s">
        <v>686</v>
      </c>
      <c r="P42" s="632" t="s">
        <v>686</v>
      </c>
    </row>
    <row r="43" spans="2:17" ht="15" customHeight="1" x14ac:dyDescent="0.3">
      <c r="B43" s="1097"/>
      <c r="C43" s="1077"/>
      <c r="D43" s="609" t="s">
        <v>687</v>
      </c>
      <c r="E43" s="602">
        <v>650</v>
      </c>
      <c r="F43" s="643">
        <v>460</v>
      </c>
      <c r="G43" s="644">
        <v>440</v>
      </c>
      <c r="H43" s="601" t="s">
        <v>688</v>
      </c>
      <c r="I43" s="603">
        <v>15</v>
      </c>
      <c r="J43" s="603">
        <v>10</v>
      </c>
      <c r="K43" s="602">
        <v>15</v>
      </c>
      <c r="L43" s="604">
        <v>15</v>
      </c>
      <c r="M43" s="605">
        <v>8.4000000000000005E-2</v>
      </c>
      <c r="N43" s="606">
        <v>0.14000000000000001</v>
      </c>
      <c r="O43" s="636" t="s">
        <v>686</v>
      </c>
      <c r="P43" s="608" t="s">
        <v>686</v>
      </c>
    </row>
    <row r="44" spans="2:17" ht="15" customHeight="1" thickBot="1" x14ac:dyDescent="0.35">
      <c r="B44" s="1097"/>
      <c r="C44" s="1077"/>
      <c r="D44" s="609" t="s">
        <v>689</v>
      </c>
      <c r="E44" s="602">
        <v>1000</v>
      </c>
      <c r="F44" s="643">
        <v>850</v>
      </c>
      <c r="G44" s="644">
        <v>750</v>
      </c>
      <c r="H44" s="601" t="s">
        <v>688</v>
      </c>
      <c r="I44" s="603">
        <v>15</v>
      </c>
      <c r="J44" s="603">
        <v>10</v>
      </c>
      <c r="K44" s="602">
        <v>15</v>
      </c>
      <c r="L44" s="604">
        <v>15</v>
      </c>
      <c r="M44" s="605">
        <v>8.4000000000000005E-2</v>
      </c>
      <c r="N44" s="606">
        <v>0.14000000000000001</v>
      </c>
      <c r="O44" s="636" t="s">
        <v>686</v>
      </c>
      <c r="P44" s="608" t="s">
        <v>686</v>
      </c>
    </row>
    <row r="45" spans="2:17" ht="15" customHeight="1" thickBot="1" x14ac:dyDescent="0.35">
      <c r="B45" s="1098"/>
      <c r="C45" s="645" t="s">
        <v>690</v>
      </c>
      <c r="D45" s="646" t="s">
        <v>691</v>
      </c>
      <c r="E45" s="1069">
        <v>1000</v>
      </c>
      <c r="F45" s="1070"/>
      <c r="G45" s="1070"/>
      <c r="H45" s="647">
        <v>900</v>
      </c>
      <c r="I45" s="637">
        <v>22</v>
      </c>
      <c r="J45" s="648">
        <v>30</v>
      </c>
      <c r="K45" s="637">
        <v>25</v>
      </c>
      <c r="L45" s="649">
        <v>25</v>
      </c>
      <c r="M45" s="622">
        <v>8.4000000000000005E-2</v>
      </c>
      <c r="N45" s="650">
        <v>0.14000000000000001</v>
      </c>
      <c r="O45" s="638"/>
      <c r="P45" s="651" t="s">
        <v>654</v>
      </c>
    </row>
    <row r="46" spans="2:17" ht="15" customHeight="1" x14ac:dyDescent="0.3">
      <c r="B46" s="54"/>
      <c r="C46" s="54"/>
      <c r="D46" s="359"/>
      <c r="E46" s="360"/>
      <c r="F46" s="360"/>
      <c r="G46" s="360"/>
      <c r="H46" s="360"/>
      <c r="I46" s="360"/>
      <c r="J46" s="85"/>
      <c r="K46" s="652"/>
      <c r="L46" s="85"/>
      <c r="M46" s="629"/>
      <c r="N46" s="85"/>
      <c r="O46" s="85"/>
      <c r="P46" s="80"/>
    </row>
    <row r="47" spans="2:17" ht="15" customHeight="1" thickBot="1" x14ac:dyDescent="0.35">
      <c r="B47" s="54"/>
      <c r="C47" s="54"/>
      <c r="D47" s="54"/>
      <c r="E47" s="55"/>
      <c r="F47" s="55"/>
      <c r="G47" s="55"/>
      <c r="H47" s="55"/>
      <c r="I47" s="55"/>
      <c r="J47" s="653"/>
      <c r="K47" s="654"/>
      <c r="L47" s="653"/>
      <c r="M47" s="655"/>
      <c r="N47" s="653"/>
      <c r="O47" s="653"/>
      <c r="P47" s="656"/>
    </row>
    <row r="48" spans="2:17" ht="15" customHeight="1" thickBot="1" x14ac:dyDescent="0.35">
      <c r="B48" s="1071" t="s">
        <v>692</v>
      </c>
      <c r="C48" s="1072"/>
      <c r="D48" s="54"/>
      <c r="E48" s="55"/>
      <c r="F48" s="55"/>
      <c r="G48" s="55"/>
      <c r="H48" s="55"/>
      <c r="I48" s="55"/>
      <c r="J48" s="653"/>
      <c r="K48" s="654"/>
      <c r="L48" s="653"/>
      <c r="M48" s="655"/>
      <c r="N48" s="653"/>
      <c r="O48" s="653"/>
      <c r="P48" s="656"/>
    </row>
    <row r="49" spans="2:16" ht="15" customHeight="1" thickBot="1" x14ac:dyDescent="0.35">
      <c r="B49" s="54"/>
      <c r="C49" s="54"/>
      <c r="D49" s="657"/>
      <c r="E49" s="658"/>
      <c r="F49" s="658"/>
      <c r="G49" s="658"/>
      <c r="H49" s="658"/>
      <c r="I49" s="658"/>
      <c r="J49" s="659"/>
      <c r="K49" s="660"/>
      <c r="L49" s="659"/>
      <c r="M49" s="661"/>
      <c r="N49" s="659"/>
      <c r="O49" s="659"/>
      <c r="P49" s="662"/>
    </row>
    <row r="50" spans="2:16" ht="15" customHeight="1" thickBot="1" x14ac:dyDescent="0.35">
      <c r="B50" s="1073" t="s">
        <v>693</v>
      </c>
      <c r="C50" s="88" t="s">
        <v>207</v>
      </c>
      <c r="D50" s="663" t="s">
        <v>667</v>
      </c>
      <c r="E50" s="664">
        <v>1150</v>
      </c>
      <c r="F50" s="665">
        <v>1000</v>
      </c>
      <c r="G50" s="666">
        <v>900</v>
      </c>
      <c r="H50" s="667">
        <v>1000</v>
      </c>
      <c r="I50" s="668">
        <v>45</v>
      </c>
      <c r="J50" s="669">
        <v>50</v>
      </c>
      <c r="K50" s="670">
        <v>15</v>
      </c>
      <c r="L50" s="670">
        <v>15</v>
      </c>
      <c r="M50" s="671">
        <v>7.5999999999999998E-2</v>
      </c>
      <c r="N50" s="669" t="s">
        <v>688</v>
      </c>
      <c r="O50" s="631" t="s">
        <v>694</v>
      </c>
      <c r="P50" s="632" t="s">
        <v>695</v>
      </c>
    </row>
    <row r="51" spans="2:16" ht="15" customHeight="1" thickBot="1" x14ac:dyDescent="0.35">
      <c r="B51" s="1074"/>
      <c r="C51" s="88" t="s">
        <v>208</v>
      </c>
      <c r="D51" s="672" t="s">
        <v>696</v>
      </c>
      <c r="E51" s="673">
        <v>2650</v>
      </c>
      <c r="F51" s="674">
        <v>2000</v>
      </c>
      <c r="G51" s="55">
        <v>1850</v>
      </c>
      <c r="H51" s="675">
        <v>2300</v>
      </c>
      <c r="I51" s="676">
        <v>70</v>
      </c>
      <c r="J51" s="677">
        <v>80</v>
      </c>
      <c r="K51" s="678">
        <v>20</v>
      </c>
      <c r="L51" s="678">
        <v>15</v>
      </c>
      <c r="M51" s="655">
        <v>7.5999999999999998E-2</v>
      </c>
      <c r="N51" s="677" t="s">
        <v>688</v>
      </c>
      <c r="O51" s="636" t="s">
        <v>694</v>
      </c>
      <c r="P51" s="608" t="s">
        <v>695</v>
      </c>
    </row>
    <row r="52" spans="2:16" ht="15" customHeight="1" thickBot="1" x14ac:dyDescent="0.35">
      <c r="B52" s="1074"/>
      <c r="C52" s="88" t="s">
        <v>697</v>
      </c>
      <c r="D52" s="672" t="s">
        <v>667</v>
      </c>
      <c r="E52" s="673">
        <v>600</v>
      </c>
      <c r="F52" s="674">
        <v>550</v>
      </c>
      <c r="G52" s="55">
        <v>500</v>
      </c>
      <c r="H52" s="675">
        <v>600</v>
      </c>
      <c r="I52" s="676">
        <v>20</v>
      </c>
      <c r="J52" s="677">
        <v>25</v>
      </c>
      <c r="K52" s="678">
        <v>20</v>
      </c>
      <c r="L52" s="678">
        <v>15</v>
      </c>
      <c r="M52" s="655">
        <v>7.5999999999999998E-2</v>
      </c>
      <c r="N52" s="677" t="s">
        <v>688</v>
      </c>
      <c r="O52" s="636" t="s">
        <v>694</v>
      </c>
      <c r="P52" s="608" t="s">
        <v>695</v>
      </c>
    </row>
    <row r="53" spans="2:16" ht="15" customHeight="1" thickBot="1" x14ac:dyDescent="0.35">
      <c r="B53" s="1075"/>
      <c r="C53" s="679" t="s">
        <v>60</v>
      </c>
      <c r="D53" s="680" t="s">
        <v>667</v>
      </c>
      <c r="E53" s="681">
        <v>2300</v>
      </c>
      <c r="F53" s="682">
        <v>2300</v>
      </c>
      <c r="G53" s="658">
        <v>2300</v>
      </c>
      <c r="H53" s="683">
        <v>2000</v>
      </c>
      <c r="I53" s="684">
        <v>95</v>
      </c>
      <c r="J53" s="685">
        <v>80</v>
      </c>
      <c r="K53" s="686">
        <v>20</v>
      </c>
      <c r="L53" s="686">
        <v>20</v>
      </c>
      <c r="M53" s="661">
        <v>8.4000000000000005E-2</v>
      </c>
      <c r="N53" s="685" t="s">
        <v>688</v>
      </c>
      <c r="O53" s="634" t="s">
        <v>698</v>
      </c>
      <c r="P53" s="617" t="s">
        <v>657</v>
      </c>
    </row>
    <row r="54" spans="2:16" ht="15" customHeight="1" x14ac:dyDescent="0.3">
      <c r="K54" s="19"/>
      <c r="M54" s="687"/>
    </row>
    <row r="55" spans="2:16" ht="15" customHeight="1" x14ac:dyDescent="0.3">
      <c r="M55" s="688"/>
    </row>
    <row r="56" spans="2:16" ht="15" customHeight="1" x14ac:dyDescent="0.3">
      <c r="M56" s="688"/>
    </row>
    <row r="57" spans="2:16" ht="15" customHeight="1" x14ac:dyDescent="0.3">
      <c r="B57" s="15"/>
    </row>
    <row r="58" spans="2:16" ht="15" customHeight="1" x14ac:dyDescent="0.3">
      <c r="B58" s="62"/>
    </row>
    <row r="59" spans="2:16" ht="15" customHeight="1" x14ac:dyDescent="0.3">
      <c r="B59" s="153" t="s">
        <v>699</v>
      </c>
    </row>
    <row r="60" spans="2:16" ht="15" customHeight="1" x14ac:dyDescent="0.3">
      <c r="B60" s="40" t="s">
        <v>700</v>
      </c>
    </row>
    <row r="61" spans="2:16" ht="15" customHeight="1" x14ac:dyDescent="0.3">
      <c r="B61" s="62" t="s">
        <v>701</v>
      </c>
    </row>
    <row r="62" spans="2:16" ht="15" customHeight="1" x14ac:dyDescent="0.3">
      <c r="B62" s="62"/>
    </row>
    <row r="63" spans="2:16" ht="15" customHeight="1" x14ac:dyDescent="0.3">
      <c r="B63" s="689" t="s">
        <v>702</v>
      </c>
      <c r="C63" s="419"/>
    </row>
    <row r="64" spans="2:16" ht="15" customHeight="1" x14ac:dyDescent="0.3">
      <c r="B64" s="62" t="s">
        <v>703</v>
      </c>
      <c r="C64" s="419"/>
    </row>
    <row r="65" spans="2:3" ht="15.75" customHeight="1" x14ac:dyDescent="0.3">
      <c r="B65" s="62" t="s">
        <v>704</v>
      </c>
      <c r="C65" s="419"/>
    </row>
    <row r="67" spans="2:3" x14ac:dyDescent="0.3">
      <c r="B67" s="110" t="s">
        <v>705</v>
      </c>
    </row>
    <row r="68" spans="2:3" x14ac:dyDescent="0.3">
      <c r="B68" s="19" t="s">
        <v>706</v>
      </c>
    </row>
    <row r="69" spans="2:3" x14ac:dyDescent="0.3">
      <c r="B69" s="62" t="s">
        <v>707</v>
      </c>
    </row>
    <row r="70" spans="2:3" x14ac:dyDescent="0.3">
      <c r="B70" s="62" t="s">
        <v>708</v>
      </c>
    </row>
    <row r="71" spans="2:3" x14ac:dyDescent="0.3">
      <c r="B71" s="62" t="s">
        <v>709</v>
      </c>
    </row>
    <row r="72" spans="2:3" x14ac:dyDescent="0.3">
      <c r="B72" s="62" t="s">
        <v>710</v>
      </c>
    </row>
    <row r="73" spans="2:3" x14ac:dyDescent="0.3">
      <c r="B73" s="62" t="s">
        <v>711</v>
      </c>
    </row>
    <row r="74" spans="2:3" x14ac:dyDescent="0.3">
      <c r="B74" s="62"/>
    </row>
    <row r="75" spans="2:3" x14ac:dyDescent="0.3">
      <c r="B75" s="62"/>
    </row>
    <row r="76" spans="2:3" x14ac:dyDescent="0.3">
      <c r="B76" s="110" t="s">
        <v>712</v>
      </c>
    </row>
    <row r="77" spans="2:3" x14ac:dyDescent="0.3">
      <c r="B77" t="s">
        <v>713</v>
      </c>
    </row>
    <row r="78" spans="2:3" x14ac:dyDescent="0.3">
      <c r="B78" s="62" t="s">
        <v>714</v>
      </c>
    </row>
    <row r="79" spans="2:3" x14ac:dyDescent="0.3">
      <c r="B79" s="62" t="s">
        <v>715</v>
      </c>
    </row>
    <row r="80" spans="2:3" x14ac:dyDescent="0.3">
      <c r="B80" s="62" t="s">
        <v>716</v>
      </c>
    </row>
    <row r="81" spans="2:2" x14ac:dyDescent="0.3">
      <c r="B81" s="62" t="s">
        <v>717</v>
      </c>
    </row>
    <row r="82" spans="2:2" x14ac:dyDescent="0.3">
      <c r="B82" s="62" t="s">
        <v>718</v>
      </c>
    </row>
    <row r="83" spans="2:2" x14ac:dyDescent="0.3">
      <c r="B83" s="62" t="s">
        <v>719</v>
      </c>
    </row>
    <row r="84" spans="2:2" x14ac:dyDescent="0.3">
      <c r="B84" s="62" t="s">
        <v>720</v>
      </c>
    </row>
    <row r="85" spans="2:2" x14ac:dyDescent="0.3">
      <c r="B85" s="19" t="s">
        <v>721</v>
      </c>
    </row>
  </sheetData>
  <mergeCells count="37">
    <mergeCell ref="D2:F3"/>
    <mergeCell ref="B17:C19"/>
    <mergeCell ref="D17:D18"/>
    <mergeCell ref="E17:H18"/>
    <mergeCell ref="I17:J18"/>
    <mergeCell ref="M17:N18"/>
    <mergeCell ref="O17:P18"/>
    <mergeCell ref="B20:B25"/>
    <mergeCell ref="D20:D21"/>
    <mergeCell ref="E20:G20"/>
    <mergeCell ref="E21:G21"/>
    <mergeCell ref="E22:G22"/>
    <mergeCell ref="E23:G23"/>
    <mergeCell ref="E24:G24"/>
    <mergeCell ref="E25:G25"/>
    <mergeCell ref="K17:L18"/>
    <mergeCell ref="B27:B28"/>
    <mergeCell ref="D27:D28"/>
    <mergeCell ref="E27:G27"/>
    <mergeCell ref="E28:G28"/>
    <mergeCell ref="B30:B45"/>
    <mergeCell ref="E30:G30"/>
    <mergeCell ref="E31:G31"/>
    <mergeCell ref="C32:C34"/>
    <mergeCell ref="E32:G32"/>
    <mergeCell ref="E33:G33"/>
    <mergeCell ref="E34:G34"/>
    <mergeCell ref="C35:C36"/>
    <mergeCell ref="E35:G35"/>
    <mergeCell ref="E36:G36"/>
    <mergeCell ref="E37:G37"/>
    <mergeCell ref="C42:C44"/>
    <mergeCell ref="E45:G45"/>
    <mergeCell ref="B48:C48"/>
    <mergeCell ref="B50:B53"/>
    <mergeCell ref="C38:C41"/>
    <mergeCell ref="E38:H41"/>
  </mergeCells>
  <hyperlinks>
    <hyperlink ref="B64" r:id="rId1"/>
    <hyperlink ref="B65" r:id="rId2"/>
    <hyperlink ref="B84" r:id="rId3"/>
    <hyperlink ref="B78" r:id="rId4"/>
    <hyperlink ref="G10" r:id="rId5" display="https://www.inflation.eu/nl/inflatiecijfers/belgie/historische-inflatie/cpi-inflatie-belgie.aspx"/>
    <hyperlink ref="G11" r:id="rId6" display="https://statbel.fgov.be/en/themes/indicators/prices/output-price-index-industry"/>
    <hyperlink ref="G12" r:id="rId7" location="figures" display="https://statbel.fgov.be/en/themes/indicators/labour/labour-cost-index - figures"/>
    <hyperlink ref="B79" r:id="rId8"/>
    <hyperlink ref="B80" r:id="rId9"/>
    <hyperlink ref="B81" r:id="rId10"/>
    <hyperlink ref="B82" r:id="rId11"/>
    <hyperlink ref="B83" r:id="rId12"/>
    <hyperlink ref="B69" r:id="rId13" display="https://perspective2050.energyville.be/paths2050"/>
    <hyperlink ref="B70" r:id="rId14" display="https://www.lazard.com/perspective/levelized-cost-of-energy-levelized-cost-of-storage-and-levelized-cost-of-hydrogen/"/>
    <hyperlink ref="B73" r:id="rId15" display="C:\Users\ADH0006\Downloads\EN2021_Fraunhofer-ISE_LCOE_Renewable_Energy_Technologies.pdf"/>
    <hyperlink ref="B60" r:id="rId16"/>
    <hyperlink ref="B61" r:id="rId17" display="https://www.nrel.gov/docs/fy21osti/79236.pdf"/>
    <hyperlink ref="B71" r:id="rId18" display="https://iea.blob.core.windows.net/assets/7e42db90-d8ea-459d-be1e-1256acd11330/WorldEnergyOutlook2022.pdf"/>
    <hyperlink ref="B72" r:id="rId19" display="https://www.irena.org/-/media/Files/IRENA/Agency/Publication/2022/Jul/IRENA_Power_Generation_Costs_2021.pdf"/>
  </hyperlinks>
  <pageMargins left="0.7" right="0.7" top="0.75" bottom="0.75" header="0.3" footer="0.3"/>
  <pageSetup paperSize="9" orientation="portrait" r:id="rId20"/>
  <drawing r:id="rId2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99"/>
  </sheetPr>
  <dimension ref="B2:J25"/>
  <sheetViews>
    <sheetView showGridLines="0" topLeftCell="A3" zoomScale="80" zoomScaleNormal="80" workbookViewId="0">
      <selection activeCell="D4" sqref="D4"/>
    </sheetView>
  </sheetViews>
  <sheetFormatPr defaultRowHeight="14.4" x14ac:dyDescent="0.3"/>
  <cols>
    <col min="1" max="1" width="2.88671875" customWidth="1"/>
    <col min="2" max="2" width="18.44140625" customWidth="1"/>
    <col min="3" max="3" width="30.5546875" style="2" customWidth="1"/>
    <col min="4" max="5" width="30.5546875" customWidth="1"/>
    <col min="6" max="6" width="21.5546875" customWidth="1"/>
    <col min="7" max="7" width="16.44140625" customWidth="1"/>
    <col min="8" max="8" width="55.109375" bestFit="1" customWidth="1"/>
    <col min="9" max="9" width="29.109375" bestFit="1" customWidth="1"/>
    <col min="10" max="10" width="22.44140625" bestFit="1" customWidth="1"/>
    <col min="11" max="11" width="29.5546875" customWidth="1"/>
    <col min="12" max="12" width="24.109375" bestFit="1" customWidth="1"/>
    <col min="13" max="13" width="42" bestFit="1" customWidth="1"/>
    <col min="14" max="14" width="43.44140625" bestFit="1" customWidth="1"/>
    <col min="15" max="15" width="23.44140625" bestFit="1" customWidth="1"/>
    <col min="16" max="16" width="68.5546875" bestFit="1" customWidth="1"/>
    <col min="17" max="22" width="48.5546875" customWidth="1"/>
    <col min="23" max="23" width="73" customWidth="1"/>
    <col min="24" max="24" width="48.44140625" customWidth="1"/>
    <col min="25" max="25" width="255.5546875" bestFit="1" customWidth="1"/>
  </cols>
  <sheetData>
    <row r="2" spans="2:10" ht="24" thickBot="1" x14ac:dyDescent="0.5">
      <c r="B2" s="3" t="s">
        <v>19</v>
      </c>
      <c r="C2" s="22"/>
    </row>
    <row r="5" spans="2:10" ht="18.600000000000001" thickBot="1" x14ac:dyDescent="0.4">
      <c r="B5" s="74" t="s">
        <v>722</v>
      </c>
      <c r="C5" s="22"/>
    </row>
    <row r="7" spans="2:10" x14ac:dyDescent="0.3">
      <c r="B7" t="s">
        <v>723</v>
      </c>
    </row>
    <row r="8" spans="2:10" ht="14.4" customHeight="1" x14ac:dyDescent="0.3">
      <c r="B8" s="1130"/>
      <c r="C8" s="1130"/>
      <c r="D8" s="1130"/>
      <c r="E8" s="1130"/>
      <c r="F8" s="1130"/>
    </row>
    <row r="9" spans="2:10" ht="15" thickBot="1" x14ac:dyDescent="0.35">
      <c r="F9" s="29"/>
      <c r="G9" s="29"/>
      <c r="H9" s="29"/>
      <c r="I9" s="29"/>
    </row>
    <row r="10" spans="2:10" ht="43.35" customHeight="1" x14ac:dyDescent="0.3">
      <c r="B10" s="102" t="s">
        <v>724</v>
      </c>
      <c r="C10" s="100" t="s">
        <v>725</v>
      </c>
      <c r="D10" s="100" t="s">
        <v>726</v>
      </c>
      <c r="E10" s="101" t="s">
        <v>727</v>
      </c>
      <c r="J10" s="2"/>
    </row>
    <row r="11" spans="2:10" x14ac:dyDescent="0.3">
      <c r="B11" s="41" t="s">
        <v>88</v>
      </c>
      <c r="C11" s="161" t="s">
        <v>728</v>
      </c>
      <c r="D11" s="162" t="s">
        <v>729</v>
      </c>
      <c r="E11" s="38" t="s">
        <v>730</v>
      </c>
      <c r="G11" s="76"/>
      <c r="I11" s="76"/>
      <c r="J11" s="76"/>
    </row>
    <row r="12" spans="2:10" x14ac:dyDescent="0.3">
      <c r="B12" s="41" t="s">
        <v>66</v>
      </c>
      <c r="C12" s="161">
        <v>9.4</v>
      </c>
      <c r="D12" s="162">
        <v>5.5E-2</v>
      </c>
      <c r="E12" s="38" t="s">
        <v>731</v>
      </c>
      <c r="G12" s="76"/>
      <c r="I12" s="76"/>
      <c r="J12" s="76"/>
    </row>
    <row r="13" spans="2:10" x14ac:dyDescent="0.3">
      <c r="B13" s="41" t="s">
        <v>655</v>
      </c>
      <c r="C13" s="161">
        <v>9.1999999999999993</v>
      </c>
      <c r="D13" s="162">
        <v>8.2000000000000003E-2</v>
      </c>
      <c r="E13" s="38" t="s">
        <v>732</v>
      </c>
      <c r="G13" s="76"/>
      <c r="I13" s="76"/>
      <c r="J13" s="76"/>
    </row>
    <row r="14" spans="2:10" x14ac:dyDescent="0.3">
      <c r="B14" s="41" t="s">
        <v>49</v>
      </c>
      <c r="C14" s="161">
        <v>3.2</v>
      </c>
      <c r="D14" s="162">
        <v>9.8000000000000004E-2</v>
      </c>
      <c r="E14" s="38" t="s">
        <v>733</v>
      </c>
      <c r="G14" s="76"/>
      <c r="J14" s="76"/>
    </row>
    <row r="15" spans="2:10" x14ac:dyDescent="0.3">
      <c r="B15" s="41" t="s">
        <v>734</v>
      </c>
      <c r="C15" s="161">
        <v>2.9</v>
      </c>
      <c r="D15" s="162">
        <v>6.4000000000000001E-2</v>
      </c>
      <c r="E15" s="38" t="s">
        <v>735</v>
      </c>
      <c r="G15" s="76"/>
      <c r="J15" s="76"/>
    </row>
    <row r="16" spans="2:10" x14ac:dyDescent="0.3">
      <c r="B16" s="41" t="s">
        <v>663</v>
      </c>
      <c r="C16" s="161">
        <v>6.7</v>
      </c>
      <c r="D16" s="162">
        <v>6.8000000000000005E-2</v>
      </c>
      <c r="E16" s="38" t="s">
        <v>736</v>
      </c>
      <c r="G16" s="76"/>
      <c r="J16" s="76"/>
    </row>
    <row r="17" spans="2:10" ht="15" thickBot="1" x14ac:dyDescent="0.35">
      <c r="B17" s="42" t="s">
        <v>737</v>
      </c>
      <c r="C17" s="583">
        <v>1.9</v>
      </c>
      <c r="D17" s="584">
        <v>6.7000000000000004E-2</v>
      </c>
      <c r="E17" s="278" t="s">
        <v>738</v>
      </c>
      <c r="G17" s="76"/>
      <c r="J17" s="76"/>
    </row>
    <row r="18" spans="2:10" x14ac:dyDescent="0.3">
      <c r="B18" s="75"/>
      <c r="C18" s="114"/>
      <c r="D18" s="582"/>
      <c r="E18" s="39"/>
      <c r="J18" s="76"/>
    </row>
    <row r="19" spans="2:10" x14ac:dyDescent="0.3">
      <c r="B19" s="75"/>
    </row>
    <row r="20" spans="2:10" ht="18.600000000000001" thickBot="1" x14ac:dyDescent="0.4">
      <c r="B20" s="74" t="s">
        <v>739</v>
      </c>
      <c r="C20" s="22"/>
    </row>
    <row r="22" spans="2:10" x14ac:dyDescent="0.3">
      <c r="B22" t="s">
        <v>740</v>
      </c>
    </row>
    <row r="23" spans="2:10" x14ac:dyDescent="0.3">
      <c r="B23" t="s">
        <v>741</v>
      </c>
    </row>
    <row r="25" spans="2:10" x14ac:dyDescent="0.3">
      <c r="B25" s="24"/>
    </row>
  </sheetData>
  <mergeCells count="1">
    <mergeCell ref="B8:F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99"/>
  </sheetPr>
  <dimension ref="A2:X79"/>
  <sheetViews>
    <sheetView showGridLines="0" zoomScale="50" zoomScaleNormal="50" workbookViewId="0">
      <selection activeCell="D79" sqref="D79"/>
    </sheetView>
  </sheetViews>
  <sheetFormatPr defaultColWidth="8.88671875" defaultRowHeight="14.4" x14ac:dyDescent="0.3"/>
  <cols>
    <col min="1" max="1" width="4.44140625" customWidth="1"/>
    <col min="2" max="2" width="36" bestFit="1" customWidth="1"/>
    <col min="3" max="3" width="30" customWidth="1"/>
    <col min="4" max="4" width="15.5546875" customWidth="1"/>
    <col min="5" max="5" width="14.44140625" customWidth="1"/>
    <col min="6" max="6" width="27.109375" customWidth="1"/>
    <col min="7" max="7" width="15.5546875" customWidth="1"/>
    <col min="8" max="9" width="18.109375" customWidth="1"/>
    <col min="10" max="11" width="15.5546875" customWidth="1"/>
    <col min="12" max="12" width="18.44140625" customWidth="1"/>
    <col min="13" max="13" width="19.44140625" customWidth="1"/>
    <col min="14" max="14" width="18.44140625" bestFit="1" customWidth="1"/>
    <col min="15" max="16" width="15.5546875" customWidth="1"/>
    <col min="17" max="17" width="17.44140625" bestFit="1" customWidth="1"/>
    <col min="18" max="18" width="23.44140625" customWidth="1"/>
    <col min="19" max="19" width="94.5546875" customWidth="1"/>
  </cols>
  <sheetData>
    <row r="2" spans="2:24" ht="24" thickBot="1" x14ac:dyDescent="0.5">
      <c r="B2" s="3" t="s">
        <v>20</v>
      </c>
      <c r="C2" s="22"/>
    </row>
    <row r="6" spans="2:24" ht="15" thickBot="1" x14ac:dyDescent="0.35"/>
    <row r="7" spans="2:24" ht="15.75" customHeight="1" thickBot="1" x14ac:dyDescent="0.35">
      <c r="B7" s="201"/>
      <c r="C7" s="1131" t="s">
        <v>742</v>
      </c>
      <c r="D7" s="1132"/>
      <c r="E7" s="1132"/>
      <c r="F7" s="1132"/>
      <c r="G7" s="1132"/>
      <c r="H7" s="1132"/>
      <c r="I7" s="1132"/>
      <c r="J7" s="1132"/>
      <c r="K7" s="1133"/>
      <c r="L7" s="1131" t="s">
        <v>743</v>
      </c>
      <c r="M7" s="1132"/>
      <c r="N7" s="1133"/>
      <c r="O7" s="1131" t="s">
        <v>744</v>
      </c>
      <c r="P7" s="1132"/>
      <c r="Q7" s="1133"/>
      <c r="R7" s="1134" t="s">
        <v>745</v>
      </c>
      <c r="S7" s="1134" t="s">
        <v>746</v>
      </c>
      <c r="T7" s="831"/>
      <c r="U7" s="831"/>
      <c r="V7" s="831"/>
      <c r="W7" s="831"/>
      <c r="X7" s="831"/>
    </row>
    <row r="8" spans="2:24" ht="43.8" thickBot="1" x14ac:dyDescent="0.35">
      <c r="B8" s="202" t="s">
        <v>747</v>
      </c>
      <c r="C8" s="203" t="s">
        <v>748</v>
      </c>
      <c r="D8" s="204" t="s">
        <v>749</v>
      </c>
      <c r="E8" s="204" t="s">
        <v>750</v>
      </c>
      <c r="F8" s="204" t="s">
        <v>751</v>
      </c>
      <c r="G8" s="204" t="s">
        <v>752</v>
      </c>
      <c r="H8" s="204" t="s">
        <v>753</v>
      </c>
      <c r="I8" s="204" t="s">
        <v>754</v>
      </c>
      <c r="J8" s="204" t="s">
        <v>755</v>
      </c>
      <c r="K8" s="205" t="s">
        <v>756</v>
      </c>
      <c r="L8" s="206" t="s">
        <v>757</v>
      </c>
      <c r="M8" s="207" t="s">
        <v>758</v>
      </c>
      <c r="N8" s="208" t="s">
        <v>759</v>
      </c>
      <c r="O8" s="206" t="s">
        <v>757</v>
      </c>
      <c r="P8" s="207" t="s">
        <v>758</v>
      </c>
      <c r="Q8" s="208" t="s">
        <v>759</v>
      </c>
      <c r="R8" s="1135"/>
      <c r="S8" s="1136"/>
      <c r="T8" s="831"/>
      <c r="U8" s="831"/>
      <c r="V8" s="831"/>
      <c r="W8" s="831"/>
      <c r="X8" s="831"/>
    </row>
    <row r="9" spans="2:24" s="19" customFormat="1" ht="86.4" customHeight="1" x14ac:dyDescent="0.3">
      <c r="B9" s="209" t="s">
        <v>760</v>
      </c>
      <c r="C9" s="210" t="s">
        <v>761</v>
      </c>
      <c r="D9" s="819" t="s">
        <v>762</v>
      </c>
      <c r="E9" s="1137" t="s">
        <v>763</v>
      </c>
      <c r="F9" s="1137"/>
      <c r="G9" s="1137"/>
      <c r="H9" s="819" t="s">
        <v>764</v>
      </c>
      <c r="I9" s="819" t="s">
        <v>765</v>
      </c>
      <c r="J9" s="819" t="s">
        <v>766</v>
      </c>
      <c r="K9" s="211" t="s">
        <v>767</v>
      </c>
      <c r="L9" s="1138" t="s">
        <v>768</v>
      </c>
      <c r="M9" s="1139"/>
      <c r="N9" s="1140"/>
      <c r="O9" s="1138" t="s">
        <v>769</v>
      </c>
      <c r="P9" s="1139"/>
      <c r="Q9" s="1139"/>
      <c r="R9" s="441" t="s">
        <v>770</v>
      </c>
      <c r="S9" s="1136"/>
      <c r="T9" s="212"/>
      <c r="U9" s="212"/>
      <c r="V9" s="212"/>
      <c r="W9" s="212"/>
      <c r="X9" s="212"/>
    </row>
    <row r="10" spans="2:24" ht="15" thickBot="1" x14ac:dyDescent="0.35">
      <c r="B10" s="213" t="s">
        <v>771</v>
      </c>
      <c r="C10" s="214" t="s">
        <v>772</v>
      </c>
      <c r="D10" s="215" t="s">
        <v>772</v>
      </c>
      <c r="E10" s="215" t="s">
        <v>772</v>
      </c>
      <c r="F10" s="215" t="s">
        <v>772</v>
      </c>
      <c r="G10" s="215" t="s">
        <v>772</v>
      </c>
      <c r="H10" s="215" t="s">
        <v>772</v>
      </c>
      <c r="I10" s="215" t="s">
        <v>772</v>
      </c>
      <c r="J10" s="215" t="s">
        <v>773</v>
      </c>
      <c r="K10" s="216" t="s">
        <v>774</v>
      </c>
      <c r="L10" s="217" t="s">
        <v>775</v>
      </c>
      <c r="M10" s="218" t="s">
        <v>775</v>
      </c>
      <c r="N10" s="219" t="s">
        <v>775</v>
      </c>
      <c r="O10" s="217" t="s">
        <v>775</v>
      </c>
      <c r="P10" s="218" t="s">
        <v>775</v>
      </c>
      <c r="Q10" s="218" t="s">
        <v>775</v>
      </c>
      <c r="R10" s="442" t="s">
        <v>772</v>
      </c>
      <c r="S10" s="1135"/>
      <c r="T10" s="831"/>
      <c r="U10" s="831"/>
      <c r="V10" s="831"/>
      <c r="W10" s="831"/>
      <c r="X10" s="831"/>
    </row>
    <row r="11" spans="2:24" ht="15" thickBot="1" x14ac:dyDescent="0.35">
      <c r="B11" s="828" t="s">
        <v>88</v>
      </c>
      <c r="C11" s="829"/>
      <c r="D11" s="823"/>
      <c r="E11" s="823"/>
      <c r="F11" s="823"/>
      <c r="G11" s="823"/>
      <c r="H11" s="823"/>
      <c r="I11" s="823"/>
      <c r="J11" s="823"/>
      <c r="K11" s="824"/>
      <c r="L11" s="829"/>
      <c r="M11" s="823"/>
      <c r="N11" s="824"/>
      <c r="O11" s="829"/>
      <c r="P11" s="823"/>
      <c r="Q11" s="824"/>
      <c r="R11" s="829"/>
      <c r="S11" s="220"/>
      <c r="T11" s="831"/>
      <c r="U11" s="831"/>
      <c r="V11" s="831"/>
      <c r="W11" s="831"/>
      <c r="X11" s="831"/>
    </row>
    <row r="12" spans="2:24" ht="71.099999999999994" customHeight="1" x14ac:dyDescent="0.3">
      <c r="B12" s="1157" t="s">
        <v>776</v>
      </c>
      <c r="C12" s="1159"/>
      <c r="D12" s="1142"/>
      <c r="E12" s="1142"/>
      <c r="F12" s="1142"/>
      <c r="G12" s="1142"/>
      <c r="H12" s="1142"/>
      <c r="I12" s="1142"/>
      <c r="J12" s="1142"/>
      <c r="K12" s="1144"/>
      <c r="L12" s="1146" t="s">
        <v>777</v>
      </c>
      <c r="M12" s="1147"/>
      <c r="N12" s="1148"/>
      <c r="O12" s="1146" t="s">
        <v>778</v>
      </c>
      <c r="P12" s="1147"/>
      <c r="Q12" s="1148"/>
      <c r="R12" s="1154"/>
      <c r="S12" s="221" t="s">
        <v>779</v>
      </c>
      <c r="T12" s="1156"/>
      <c r="U12" s="1141"/>
      <c r="V12" s="1141"/>
      <c r="W12" s="1141"/>
      <c r="X12" s="1141"/>
    </row>
    <row r="13" spans="2:24" ht="28.8" x14ac:dyDescent="0.3">
      <c r="B13" s="1158"/>
      <c r="C13" s="1153"/>
      <c r="D13" s="1143"/>
      <c r="E13" s="1143"/>
      <c r="F13" s="1143"/>
      <c r="G13" s="1143"/>
      <c r="H13" s="1143"/>
      <c r="I13" s="1143"/>
      <c r="J13" s="1143"/>
      <c r="K13" s="1145"/>
      <c r="L13" s="1149"/>
      <c r="M13" s="1150"/>
      <c r="N13" s="1151"/>
      <c r="O13" s="1149"/>
      <c r="P13" s="1150"/>
      <c r="Q13" s="1151"/>
      <c r="R13" s="1155"/>
      <c r="S13" s="222" t="s">
        <v>780</v>
      </c>
      <c r="T13" s="1156"/>
      <c r="U13" s="1141"/>
      <c r="V13" s="1141"/>
      <c r="W13" s="1141"/>
      <c r="X13" s="1141"/>
    </row>
    <row r="14" spans="2:24" ht="28.8" x14ac:dyDescent="0.3">
      <c r="B14" s="1158"/>
      <c r="C14" s="1153"/>
      <c r="D14" s="1143"/>
      <c r="E14" s="1143"/>
      <c r="F14" s="1143"/>
      <c r="G14" s="1143"/>
      <c r="H14" s="1143"/>
      <c r="I14" s="1143"/>
      <c r="J14" s="1143"/>
      <c r="K14" s="1145"/>
      <c r="L14" s="1149"/>
      <c r="M14" s="1150"/>
      <c r="N14" s="1151"/>
      <c r="O14" s="1149"/>
      <c r="P14" s="1150"/>
      <c r="Q14" s="1151"/>
      <c r="R14" s="1155"/>
      <c r="S14" s="222" t="s">
        <v>781</v>
      </c>
      <c r="T14" s="1156"/>
      <c r="U14" s="1141"/>
      <c r="V14" s="1141"/>
      <c r="W14" s="1141"/>
      <c r="X14" s="1141"/>
    </row>
    <row r="15" spans="2:24" x14ac:dyDescent="0.3">
      <c r="B15" s="1158"/>
      <c r="C15" s="1153"/>
      <c r="D15" s="1143"/>
      <c r="E15" s="1143"/>
      <c r="F15" s="1143"/>
      <c r="G15" s="1143"/>
      <c r="H15" s="1143"/>
      <c r="I15" s="1143"/>
      <c r="J15" s="1143"/>
      <c r="K15" s="1145"/>
      <c r="L15" s="1149"/>
      <c r="M15" s="1150"/>
      <c r="N15" s="1151"/>
      <c r="O15" s="1149"/>
      <c r="P15" s="1150"/>
      <c r="Q15" s="1151"/>
      <c r="R15" s="1155"/>
      <c r="S15" s="222" t="s">
        <v>782</v>
      </c>
      <c r="T15" s="1156"/>
      <c r="U15" s="1141"/>
      <c r="V15" s="1141"/>
      <c r="W15" s="1141"/>
      <c r="X15" s="1141"/>
    </row>
    <row r="16" spans="2:24" ht="18" customHeight="1" thickBot="1" x14ac:dyDescent="0.35">
      <c r="B16" s="1158"/>
      <c r="C16" s="1153"/>
      <c r="D16" s="1143"/>
      <c r="E16" s="1143"/>
      <c r="F16" s="1143"/>
      <c r="G16" s="1143"/>
      <c r="H16" s="1143"/>
      <c r="I16" s="1143"/>
      <c r="J16" s="1143"/>
      <c r="K16" s="1145"/>
      <c r="L16" s="1149"/>
      <c r="M16" s="1150"/>
      <c r="N16" s="1151"/>
      <c r="O16" s="1149"/>
      <c r="P16" s="1150"/>
      <c r="Q16" s="1151"/>
      <c r="R16" s="1155"/>
      <c r="S16" s="222" t="s">
        <v>783</v>
      </c>
      <c r="T16" s="1156"/>
      <c r="U16" s="1141"/>
      <c r="V16" s="1141"/>
      <c r="W16" s="1141"/>
      <c r="X16" s="1141"/>
    </row>
    <row r="17" spans="2:24" ht="15" thickBot="1" x14ac:dyDescent="0.35">
      <c r="B17" s="438" t="s">
        <v>784</v>
      </c>
      <c r="C17" s="439"/>
      <c r="D17" s="440"/>
      <c r="E17" s="440"/>
      <c r="F17" s="440"/>
      <c r="G17" s="440"/>
      <c r="H17" s="851"/>
      <c r="I17" s="851"/>
      <c r="J17" s="851"/>
      <c r="K17" s="852"/>
      <c r="L17" s="853"/>
      <c r="M17" s="853"/>
      <c r="N17" s="854"/>
      <c r="O17" s="855"/>
      <c r="P17" s="853"/>
      <c r="Q17" s="854"/>
      <c r="R17" s="855"/>
      <c r="S17" s="856"/>
      <c r="T17" s="831"/>
      <c r="U17" s="831"/>
      <c r="V17" s="831"/>
      <c r="W17" s="831"/>
      <c r="X17" s="831"/>
    </row>
    <row r="18" spans="2:24" ht="28.8" x14ac:dyDescent="0.3">
      <c r="B18" s="1152" t="s">
        <v>785</v>
      </c>
      <c r="C18" s="1153" t="s">
        <v>620</v>
      </c>
      <c r="D18" s="1143"/>
      <c r="E18" s="1143"/>
      <c r="F18" s="1143"/>
      <c r="G18" s="1143"/>
      <c r="H18" s="1143"/>
      <c r="I18" s="1143"/>
      <c r="J18" s="1143"/>
      <c r="K18" s="1166">
        <v>1</v>
      </c>
      <c r="L18" s="1167"/>
      <c r="M18" s="1168"/>
      <c r="N18" s="1164"/>
      <c r="O18" s="1149" t="s">
        <v>786</v>
      </c>
      <c r="P18" s="1150" t="s">
        <v>787</v>
      </c>
      <c r="Q18" s="1151" t="s">
        <v>788</v>
      </c>
      <c r="R18" s="1165"/>
      <c r="S18" s="226" t="s">
        <v>789</v>
      </c>
      <c r="T18" s="1156"/>
      <c r="U18" s="1141"/>
      <c r="V18" s="1141"/>
      <c r="W18" s="1141"/>
      <c r="X18" s="1141"/>
    </row>
    <row r="19" spans="2:24" ht="28.8" x14ac:dyDescent="0.3">
      <c r="B19" s="1152"/>
      <c r="C19" s="1153"/>
      <c r="D19" s="1143"/>
      <c r="E19" s="1143"/>
      <c r="F19" s="1143"/>
      <c r="G19" s="1143"/>
      <c r="H19" s="1143"/>
      <c r="I19" s="1143"/>
      <c r="J19" s="1143"/>
      <c r="K19" s="1166"/>
      <c r="L19" s="1167"/>
      <c r="M19" s="1168"/>
      <c r="N19" s="1164"/>
      <c r="O19" s="1149"/>
      <c r="P19" s="1150"/>
      <c r="Q19" s="1151"/>
      <c r="R19" s="1165"/>
      <c r="S19" s="226" t="s">
        <v>790</v>
      </c>
      <c r="T19" s="1156"/>
      <c r="U19" s="1141"/>
      <c r="V19" s="1141"/>
      <c r="W19" s="1141"/>
      <c r="X19" s="1141"/>
    </row>
    <row r="20" spans="2:24" x14ac:dyDescent="0.3">
      <c r="B20" s="1152"/>
      <c r="C20" s="1153"/>
      <c r="D20" s="1143"/>
      <c r="E20" s="1143"/>
      <c r="F20" s="1143"/>
      <c r="G20" s="1143"/>
      <c r="H20" s="1143"/>
      <c r="I20" s="1143"/>
      <c r="J20" s="1143"/>
      <c r="K20" s="1166"/>
      <c r="L20" s="1167"/>
      <c r="M20" s="1168"/>
      <c r="N20" s="1164"/>
      <c r="O20" s="1149"/>
      <c r="P20" s="1150"/>
      <c r="Q20" s="1151"/>
      <c r="R20" s="1165"/>
      <c r="S20" s="226" t="s">
        <v>791</v>
      </c>
      <c r="T20" s="1156"/>
      <c r="U20" s="1141"/>
      <c r="V20" s="1141"/>
      <c r="W20" s="1141"/>
      <c r="X20" s="1141"/>
    </row>
    <row r="21" spans="2:24" ht="28.8" x14ac:dyDescent="0.3">
      <c r="B21" s="832" t="s">
        <v>792</v>
      </c>
      <c r="C21" s="830"/>
      <c r="D21" s="833"/>
      <c r="E21" s="833"/>
      <c r="F21" s="833"/>
      <c r="G21" s="833"/>
      <c r="H21" s="833"/>
      <c r="I21" s="833"/>
      <c r="J21" s="833"/>
      <c r="K21" s="834">
        <v>1</v>
      </c>
      <c r="L21" s="857"/>
      <c r="M21" s="857"/>
      <c r="N21" s="858"/>
      <c r="O21" s="859"/>
      <c r="P21" s="821" t="s">
        <v>793</v>
      </c>
      <c r="Q21" s="822" t="s">
        <v>793</v>
      </c>
      <c r="R21" s="860"/>
      <c r="S21" s="839" t="s">
        <v>794</v>
      </c>
      <c r="T21" s="831"/>
      <c r="U21" s="831"/>
      <c r="V21" s="831"/>
      <c r="W21" s="831"/>
      <c r="X21" s="831"/>
    </row>
    <row r="22" spans="2:24" x14ac:dyDescent="0.3">
      <c r="B22" s="832" t="s">
        <v>795</v>
      </c>
      <c r="C22" s="830"/>
      <c r="D22" s="833"/>
      <c r="E22" s="833"/>
      <c r="F22" s="833"/>
      <c r="G22" s="833"/>
      <c r="H22" s="833"/>
      <c r="I22" s="833"/>
      <c r="J22" s="833"/>
      <c r="K22" s="834">
        <v>1</v>
      </c>
      <c r="L22" s="857"/>
      <c r="M22" s="857"/>
      <c r="N22" s="858"/>
      <c r="O22" s="859"/>
      <c r="P22" s="821" t="s">
        <v>793</v>
      </c>
      <c r="Q22" s="822" t="s">
        <v>793</v>
      </c>
      <c r="R22" s="860"/>
      <c r="S22" s="839" t="s">
        <v>796</v>
      </c>
      <c r="T22" s="831"/>
      <c r="U22" s="831"/>
      <c r="V22" s="831"/>
      <c r="W22" s="831"/>
      <c r="X22" s="831"/>
    </row>
    <row r="23" spans="2:24" x14ac:dyDescent="0.3">
      <c r="B23" s="832" t="s">
        <v>797</v>
      </c>
      <c r="C23" s="830"/>
      <c r="D23" s="833"/>
      <c r="E23" s="833"/>
      <c r="F23" s="833"/>
      <c r="G23" s="833"/>
      <c r="H23" s="833"/>
      <c r="I23" s="833"/>
      <c r="J23" s="833"/>
      <c r="K23" s="227"/>
      <c r="L23" s="857"/>
      <c r="M23" s="857"/>
      <c r="N23" s="858"/>
      <c r="O23" s="860"/>
      <c r="P23" s="861"/>
      <c r="Q23" s="862"/>
      <c r="R23" s="860"/>
      <c r="S23" s="228"/>
      <c r="T23" s="831"/>
      <c r="U23" s="831"/>
      <c r="V23" s="831"/>
      <c r="W23" s="831"/>
      <c r="X23" s="831"/>
    </row>
    <row r="24" spans="2:24" ht="29.4" thickBot="1" x14ac:dyDescent="0.35">
      <c r="B24" s="832" t="s">
        <v>798</v>
      </c>
      <c r="C24" s="817" t="s">
        <v>799</v>
      </c>
      <c r="D24" s="837" t="s">
        <v>799</v>
      </c>
      <c r="E24" s="837" t="s">
        <v>800</v>
      </c>
      <c r="F24" s="837" t="s">
        <v>801</v>
      </c>
      <c r="G24" s="837" t="s">
        <v>802</v>
      </c>
      <c r="H24" s="837" t="s">
        <v>803</v>
      </c>
      <c r="I24" s="837" t="s">
        <v>804</v>
      </c>
      <c r="J24" s="838">
        <v>0.4</v>
      </c>
      <c r="K24" s="836">
        <v>0.03</v>
      </c>
      <c r="L24" s="863"/>
      <c r="M24" s="863"/>
      <c r="N24" s="864"/>
      <c r="O24" s="820" t="s">
        <v>805</v>
      </c>
      <c r="P24" s="821" t="s">
        <v>805</v>
      </c>
      <c r="Q24" s="821" t="s">
        <v>805</v>
      </c>
      <c r="R24" s="865"/>
      <c r="S24" s="847" t="s">
        <v>806</v>
      </c>
      <c r="T24" s="231"/>
      <c r="U24" s="831"/>
      <c r="V24" s="831"/>
      <c r="W24" s="831"/>
      <c r="X24" s="831"/>
    </row>
    <row r="25" spans="2:24" ht="15" thickBot="1" x14ac:dyDescent="0.35">
      <c r="B25" s="828" t="s">
        <v>66</v>
      </c>
      <c r="C25" s="223"/>
      <c r="D25" s="232"/>
      <c r="E25" s="232"/>
      <c r="F25" s="232"/>
      <c r="G25" s="232"/>
      <c r="H25" s="232"/>
      <c r="I25" s="232"/>
      <c r="J25" s="232"/>
      <c r="K25" s="866"/>
      <c r="L25" s="867"/>
      <c r="M25" s="868"/>
      <c r="N25" s="869"/>
      <c r="O25" s="855"/>
      <c r="P25" s="853"/>
      <c r="Q25" s="854"/>
      <c r="R25" s="853"/>
      <c r="S25" s="856"/>
      <c r="T25" s="831"/>
      <c r="U25" s="831"/>
      <c r="V25" s="831"/>
      <c r="W25" s="831"/>
      <c r="X25" s="831"/>
    </row>
    <row r="26" spans="2:24" x14ac:dyDescent="0.3">
      <c r="B26" s="839" t="s">
        <v>807</v>
      </c>
      <c r="C26" s="1160" t="s">
        <v>808</v>
      </c>
      <c r="D26" s="1162" t="s">
        <v>808</v>
      </c>
      <c r="E26" s="1162" t="s">
        <v>809</v>
      </c>
      <c r="F26" s="1162" t="s">
        <v>810</v>
      </c>
      <c r="G26" s="1162" t="s">
        <v>808</v>
      </c>
      <c r="H26" s="1162" t="s">
        <v>799</v>
      </c>
      <c r="I26" s="1162" t="s">
        <v>811</v>
      </c>
      <c r="J26" s="1172">
        <v>0.3</v>
      </c>
      <c r="K26" s="1174">
        <v>0.11</v>
      </c>
      <c r="L26" s="1146" t="s">
        <v>812</v>
      </c>
      <c r="M26" s="1147" t="s">
        <v>813</v>
      </c>
      <c r="N26" s="1148" t="s">
        <v>814</v>
      </c>
      <c r="O26" s="1149" t="s">
        <v>805</v>
      </c>
      <c r="P26" s="1150" t="s">
        <v>805</v>
      </c>
      <c r="Q26" s="1151" t="s">
        <v>805</v>
      </c>
      <c r="R26" s="1169"/>
      <c r="S26" s="1170" t="s">
        <v>815</v>
      </c>
      <c r="T26" s="1171"/>
      <c r="U26" s="1141"/>
      <c r="V26" s="1141"/>
      <c r="W26" s="1141"/>
      <c r="X26" s="1141"/>
    </row>
    <row r="27" spans="2:24" x14ac:dyDescent="0.3">
      <c r="B27" s="839" t="s">
        <v>816</v>
      </c>
      <c r="C27" s="1161"/>
      <c r="D27" s="1163"/>
      <c r="E27" s="1163"/>
      <c r="F27" s="1163"/>
      <c r="G27" s="1163"/>
      <c r="H27" s="1163"/>
      <c r="I27" s="1163"/>
      <c r="J27" s="1173"/>
      <c r="K27" s="1175"/>
      <c r="L27" s="1149"/>
      <c r="M27" s="1150"/>
      <c r="N27" s="1151"/>
      <c r="O27" s="1149"/>
      <c r="P27" s="1150"/>
      <c r="Q27" s="1151"/>
      <c r="R27" s="1169"/>
      <c r="S27" s="1170"/>
      <c r="T27" s="1171"/>
      <c r="U27" s="1141"/>
      <c r="V27" s="1141"/>
      <c r="W27" s="1141"/>
      <c r="X27" s="1141"/>
    </row>
    <row r="28" spans="2:24" x14ac:dyDescent="0.3">
      <c r="B28" s="839" t="s">
        <v>817</v>
      </c>
      <c r="C28" s="1161" t="s">
        <v>800</v>
      </c>
      <c r="D28" s="1163" t="s">
        <v>800</v>
      </c>
      <c r="E28" s="1163" t="s">
        <v>810</v>
      </c>
      <c r="F28" s="1163" t="s">
        <v>808</v>
      </c>
      <c r="G28" s="1163" t="s">
        <v>800</v>
      </c>
      <c r="H28" s="1163" t="s">
        <v>799</v>
      </c>
      <c r="I28" s="1163" t="s">
        <v>811</v>
      </c>
      <c r="J28" s="1173">
        <v>0.4</v>
      </c>
      <c r="K28" s="1175">
        <v>0.06</v>
      </c>
      <c r="L28" s="1149" t="s">
        <v>812</v>
      </c>
      <c r="M28" s="1150" t="s">
        <v>813</v>
      </c>
      <c r="N28" s="1151" t="s">
        <v>814</v>
      </c>
      <c r="O28" s="1149" t="s">
        <v>805</v>
      </c>
      <c r="P28" s="1150" t="s">
        <v>805</v>
      </c>
      <c r="Q28" s="1151" t="s">
        <v>805</v>
      </c>
      <c r="R28" s="1169"/>
      <c r="S28" s="1170"/>
      <c r="T28" s="1156"/>
      <c r="U28" s="1141"/>
      <c r="V28" s="1141"/>
      <c r="W28" s="1141"/>
      <c r="X28" s="1141"/>
    </row>
    <row r="29" spans="2:24" x14ac:dyDescent="0.3">
      <c r="B29" s="839" t="s">
        <v>818</v>
      </c>
      <c r="C29" s="1161"/>
      <c r="D29" s="1163"/>
      <c r="E29" s="1163"/>
      <c r="F29" s="1163"/>
      <c r="G29" s="1163"/>
      <c r="H29" s="1163"/>
      <c r="I29" s="1163"/>
      <c r="J29" s="1173"/>
      <c r="K29" s="1175"/>
      <c r="L29" s="1149"/>
      <c r="M29" s="1150"/>
      <c r="N29" s="1151"/>
      <c r="O29" s="1149"/>
      <c r="P29" s="1150"/>
      <c r="Q29" s="1151"/>
      <c r="R29" s="1169"/>
      <c r="S29" s="1170"/>
      <c r="T29" s="1156"/>
      <c r="U29" s="1141"/>
      <c r="V29" s="1141"/>
      <c r="W29" s="1141"/>
      <c r="X29" s="1141"/>
    </row>
    <row r="30" spans="2:24" x14ac:dyDescent="0.3">
      <c r="B30" s="839" t="s">
        <v>819</v>
      </c>
      <c r="C30" s="1161" t="s">
        <v>800</v>
      </c>
      <c r="D30" s="1163" t="s">
        <v>800</v>
      </c>
      <c r="E30" s="1163" t="s">
        <v>810</v>
      </c>
      <c r="F30" s="1163" t="s">
        <v>820</v>
      </c>
      <c r="G30" s="1163" t="s">
        <v>821</v>
      </c>
      <c r="H30" s="1163" t="s">
        <v>799</v>
      </c>
      <c r="I30" s="1163" t="s">
        <v>811</v>
      </c>
      <c r="J30" s="1173">
        <v>0.45</v>
      </c>
      <c r="K30" s="1175">
        <v>0.03</v>
      </c>
      <c r="L30" s="1149" t="s">
        <v>812</v>
      </c>
      <c r="M30" s="1150" t="s">
        <v>813</v>
      </c>
      <c r="N30" s="1151" t="s">
        <v>814</v>
      </c>
      <c r="O30" s="1149" t="s">
        <v>805</v>
      </c>
      <c r="P30" s="1150" t="s">
        <v>805</v>
      </c>
      <c r="Q30" s="1151" t="s">
        <v>805</v>
      </c>
      <c r="R30" s="1169"/>
      <c r="S30" s="1170"/>
      <c r="T30" s="1156"/>
      <c r="U30" s="1141"/>
      <c r="V30" s="1141"/>
      <c r="W30" s="1141"/>
      <c r="X30" s="1141"/>
    </row>
    <row r="31" spans="2:24" ht="15" thickBot="1" x14ac:dyDescent="0.35">
      <c r="B31" s="847" t="s">
        <v>822</v>
      </c>
      <c r="C31" s="1176"/>
      <c r="D31" s="1177"/>
      <c r="E31" s="1177"/>
      <c r="F31" s="1177"/>
      <c r="G31" s="1177"/>
      <c r="H31" s="1177"/>
      <c r="I31" s="1177"/>
      <c r="J31" s="1182"/>
      <c r="K31" s="1183"/>
      <c r="L31" s="1184"/>
      <c r="M31" s="1185"/>
      <c r="N31" s="1181"/>
      <c r="O31" s="1149"/>
      <c r="P31" s="1150"/>
      <c r="Q31" s="1151"/>
      <c r="R31" s="1169"/>
      <c r="S31" s="1170"/>
      <c r="T31" s="1156"/>
      <c r="U31" s="1141"/>
      <c r="V31" s="1141"/>
      <c r="W31" s="1141"/>
      <c r="X31" s="1141"/>
    </row>
    <row r="32" spans="2:24" ht="15" thickBot="1" x14ac:dyDescent="0.35">
      <c r="B32" s="828" t="s">
        <v>655</v>
      </c>
      <c r="C32" s="224"/>
      <c r="D32" s="233"/>
      <c r="E32" s="233"/>
      <c r="F32" s="233"/>
      <c r="G32" s="233"/>
      <c r="H32" s="233"/>
      <c r="I32" s="233"/>
      <c r="J32" s="233"/>
      <c r="K32" s="870"/>
      <c r="L32" s="871"/>
      <c r="M32" s="872"/>
      <c r="N32" s="873"/>
      <c r="O32" s="874"/>
      <c r="P32" s="875"/>
      <c r="Q32" s="876"/>
      <c r="R32" s="877"/>
      <c r="S32" s="856"/>
      <c r="T32" s="831"/>
      <c r="U32" s="831"/>
      <c r="V32" s="831"/>
      <c r="W32" s="831"/>
      <c r="X32" s="831"/>
    </row>
    <row r="33" spans="1:24" ht="28.8" x14ac:dyDescent="0.3">
      <c r="B33" s="839" t="s">
        <v>807</v>
      </c>
      <c r="C33" s="817" t="s">
        <v>809</v>
      </c>
      <c r="D33" s="837" t="s">
        <v>809</v>
      </c>
      <c r="E33" s="837" t="s">
        <v>823</v>
      </c>
      <c r="F33" s="837" t="s">
        <v>823</v>
      </c>
      <c r="G33" s="837" t="s">
        <v>823</v>
      </c>
      <c r="H33" s="837" t="s">
        <v>808</v>
      </c>
      <c r="I33" s="837" t="s">
        <v>800</v>
      </c>
      <c r="J33" s="838">
        <v>0.2</v>
      </c>
      <c r="K33" s="836">
        <v>0.15</v>
      </c>
      <c r="L33" s="825" t="s">
        <v>812</v>
      </c>
      <c r="M33" s="826" t="s">
        <v>814</v>
      </c>
      <c r="N33" s="826" t="s">
        <v>814</v>
      </c>
      <c r="O33" s="820" t="s">
        <v>805</v>
      </c>
      <c r="P33" s="821" t="s">
        <v>805</v>
      </c>
      <c r="Q33" s="822" t="s">
        <v>805</v>
      </c>
      <c r="R33" s="861"/>
      <c r="S33" s="1170" t="s">
        <v>815</v>
      </c>
      <c r="T33" s="831"/>
      <c r="U33" s="831"/>
      <c r="V33" s="831"/>
      <c r="W33" s="831"/>
      <c r="X33" s="831"/>
    </row>
    <row r="34" spans="1:24" ht="29.4" thickBot="1" x14ac:dyDescent="0.35">
      <c r="B34" s="878" t="s">
        <v>824</v>
      </c>
      <c r="C34" s="817" t="s">
        <v>809</v>
      </c>
      <c r="D34" s="837" t="s">
        <v>809</v>
      </c>
      <c r="E34" s="837" t="s">
        <v>823</v>
      </c>
      <c r="F34" s="837" t="s">
        <v>823</v>
      </c>
      <c r="G34" s="837" t="s">
        <v>823</v>
      </c>
      <c r="H34" s="837" t="s">
        <v>808</v>
      </c>
      <c r="I34" s="837" t="s">
        <v>800</v>
      </c>
      <c r="J34" s="838">
        <v>0.3</v>
      </c>
      <c r="K34" s="836">
        <v>0.12</v>
      </c>
      <c r="L34" s="820" t="s">
        <v>812</v>
      </c>
      <c r="M34" s="821" t="s">
        <v>814</v>
      </c>
      <c r="N34" s="821" t="s">
        <v>814</v>
      </c>
      <c r="O34" s="820" t="s">
        <v>805</v>
      </c>
      <c r="P34" s="821" t="s">
        <v>805</v>
      </c>
      <c r="Q34" s="822" t="s">
        <v>805</v>
      </c>
      <c r="R34" s="861"/>
      <c r="S34" s="1180"/>
      <c r="T34" s="831"/>
      <c r="U34" s="831"/>
      <c r="V34" s="831"/>
      <c r="W34" s="831"/>
      <c r="X34" s="831"/>
    </row>
    <row r="35" spans="1:24" ht="15" thickBot="1" x14ac:dyDescent="0.35">
      <c r="A35" s="26"/>
      <c r="B35" s="828" t="s">
        <v>77</v>
      </c>
      <c r="C35" s="879"/>
      <c r="D35" s="880"/>
      <c r="E35" s="880"/>
      <c r="F35" s="880"/>
      <c r="G35" s="880"/>
      <c r="H35" s="880"/>
      <c r="I35" s="880"/>
      <c r="J35" s="881"/>
      <c r="K35" s="881"/>
      <c r="L35" s="882"/>
      <c r="M35" s="883"/>
      <c r="N35" s="883"/>
      <c r="O35" s="882"/>
      <c r="P35" s="883"/>
      <c r="Q35" s="884"/>
      <c r="R35" s="885"/>
      <c r="S35" s="886"/>
      <c r="T35" s="831"/>
      <c r="U35" s="831"/>
      <c r="V35" s="831"/>
      <c r="W35" s="831"/>
      <c r="X35" s="831"/>
    </row>
    <row r="36" spans="1:24" x14ac:dyDescent="0.3">
      <c r="A36" s="26"/>
      <c r="B36" s="832" t="s">
        <v>825</v>
      </c>
      <c r="C36" s="887" t="s">
        <v>821</v>
      </c>
      <c r="D36" s="818" t="s">
        <v>821</v>
      </c>
      <c r="E36" s="818" t="s">
        <v>809</v>
      </c>
      <c r="F36" s="818" t="s">
        <v>809</v>
      </c>
      <c r="G36" s="818" t="s">
        <v>821</v>
      </c>
      <c r="H36" s="818" t="s">
        <v>826</v>
      </c>
      <c r="I36" s="818" t="s">
        <v>827</v>
      </c>
      <c r="J36" s="835">
        <v>0.5</v>
      </c>
      <c r="K36" s="835">
        <v>0.1</v>
      </c>
      <c r="L36" s="416"/>
      <c r="M36" s="417"/>
      <c r="N36" s="417"/>
      <c r="O36" s="825" t="s">
        <v>828</v>
      </c>
      <c r="P36" s="826" t="s">
        <v>828</v>
      </c>
      <c r="Q36" s="827" t="s">
        <v>828</v>
      </c>
      <c r="R36" s="422" t="s">
        <v>829</v>
      </c>
      <c r="S36" s="235" t="s">
        <v>830</v>
      </c>
      <c r="T36" s="831"/>
      <c r="U36" s="831"/>
      <c r="V36" s="831"/>
      <c r="W36" s="831"/>
      <c r="X36" s="831"/>
    </row>
    <row r="37" spans="1:24" ht="15" thickBot="1" x14ac:dyDescent="0.35">
      <c r="B37" s="236" t="s">
        <v>831</v>
      </c>
      <c r="C37" s="840" t="s">
        <v>800</v>
      </c>
      <c r="D37" s="841" t="s">
        <v>800</v>
      </c>
      <c r="E37" s="841" t="s">
        <v>809</v>
      </c>
      <c r="F37" s="841" t="s">
        <v>808</v>
      </c>
      <c r="G37" s="841" t="s">
        <v>800</v>
      </c>
      <c r="H37" s="841" t="s">
        <v>799</v>
      </c>
      <c r="I37" s="841" t="s">
        <v>811</v>
      </c>
      <c r="J37" s="842">
        <v>0.4</v>
      </c>
      <c r="K37" s="842">
        <v>0.06</v>
      </c>
      <c r="L37" s="843" t="s">
        <v>832</v>
      </c>
      <c r="M37" s="844" t="s">
        <v>833</v>
      </c>
      <c r="N37" s="844" t="s">
        <v>834</v>
      </c>
      <c r="O37" s="843" t="s">
        <v>828</v>
      </c>
      <c r="P37" s="844" t="s">
        <v>828</v>
      </c>
      <c r="Q37" s="845" t="s">
        <v>828</v>
      </c>
      <c r="R37" s="888"/>
      <c r="S37" s="847" t="s">
        <v>830</v>
      </c>
      <c r="T37" s="846"/>
      <c r="U37" s="831"/>
      <c r="V37" s="831"/>
      <c r="W37" s="831"/>
      <c r="X37" s="831"/>
    </row>
    <row r="38" spans="1:24" ht="15" thickBot="1" x14ac:dyDescent="0.35">
      <c r="B38" s="889" t="s">
        <v>835</v>
      </c>
      <c r="C38" s="890"/>
      <c r="D38" s="891"/>
      <c r="E38" s="891"/>
      <c r="F38" s="891"/>
      <c r="G38" s="891"/>
      <c r="H38" s="891"/>
      <c r="I38" s="891"/>
      <c r="J38" s="891"/>
      <c r="K38" s="891"/>
      <c r="L38" s="892"/>
      <c r="M38" s="893"/>
      <c r="N38" s="893"/>
      <c r="O38" s="892"/>
      <c r="P38" s="893"/>
      <c r="Q38" s="894"/>
      <c r="R38" s="895"/>
      <c r="S38" s="896"/>
      <c r="T38" s="846"/>
      <c r="U38" s="831"/>
      <c r="V38" s="831"/>
      <c r="W38" s="831"/>
      <c r="X38" s="831"/>
    </row>
    <row r="39" spans="1:24" ht="28.8" x14ac:dyDescent="0.3">
      <c r="B39" s="432" t="s">
        <v>663</v>
      </c>
      <c r="C39" s="237"/>
      <c r="D39" s="238"/>
      <c r="E39" s="238"/>
      <c r="F39" s="238"/>
      <c r="G39" s="238"/>
      <c r="H39" s="238"/>
      <c r="I39" s="238"/>
      <c r="J39" s="238"/>
      <c r="K39" s="239">
        <v>1</v>
      </c>
      <c r="L39" s="825" t="s">
        <v>836</v>
      </c>
      <c r="M39" s="422" t="s">
        <v>837</v>
      </c>
      <c r="N39" s="421" t="s">
        <v>837</v>
      </c>
      <c r="O39" s="825" t="s">
        <v>805</v>
      </c>
      <c r="P39" s="422" t="s">
        <v>838</v>
      </c>
      <c r="Q39" s="421" t="s">
        <v>838</v>
      </c>
      <c r="R39" s="423" t="s">
        <v>839</v>
      </c>
      <c r="S39" s="235" t="s">
        <v>840</v>
      </c>
      <c r="T39" s="831"/>
      <c r="U39" s="831"/>
      <c r="V39" s="831"/>
      <c r="W39" s="831"/>
      <c r="X39" s="831"/>
    </row>
    <row r="40" spans="1:24" ht="15" thickBot="1" x14ac:dyDescent="0.35">
      <c r="B40" s="432" t="s">
        <v>841</v>
      </c>
      <c r="C40" s="230"/>
      <c r="D40" s="240"/>
      <c r="E40" s="240"/>
      <c r="F40" s="240"/>
      <c r="G40" s="240"/>
      <c r="H40" s="240"/>
      <c r="I40" s="240"/>
      <c r="J40" s="240"/>
      <c r="K40" s="241">
        <v>1</v>
      </c>
      <c r="L40" s="418" t="s">
        <v>842</v>
      </c>
      <c r="M40" s="419" t="s">
        <v>842</v>
      </c>
      <c r="N40" s="419" t="s">
        <v>842</v>
      </c>
      <c r="O40" s="418" t="s">
        <v>838</v>
      </c>
      <c r="P40" s="419" t="s">
        <v>838</v>
      </c>
      <c r="Q40" s="419" t="s">
        <v>838</v>
      </c>
      <c r="R40" s="428" t="s">
        <v>843</v>
      </c>
      <c r="S40" s="242"/>
      <c r="T40" s="831"/>
      <c r="U40" s="831"/>
      <c r="V40" s="831"/>
      <c r="W40" s="831"/>
      <c r="X40" s="831"/>
    </row>
    <row r="41" spans="1:24" ht="15" thickBot="1" x14ac:dyDescent="0.35">
      <c r="B41" s="433" t="s">
        <v>659</v>
      </c>
      <c r="C41" s="224"/>
      <c r="D41" s="233"/>
      <c r="E41" s="233"/>
      <c r="F41" s="233"/>
      <c r="G41" s="233"/>
      <c r="H41" s="233"/>
      <c r="I41" s="233"/>
      <c r="J41" s="233"/>
      <c r="K41" s="243"/>
      <c r="L41" s="897"/>
      <c r="M41" s="898"/>
      <c r="N41" s="899"/>
      <c r="O41" s="897"/>
      <c r="P41" s="898"/>
      <c r="Q41" s="899"/>
      <c r="R41" s="900"/>
      <c r="S41" s="225"/>
      <c r="T41" s="831"/>
      <c r="U41" s="831"/>
      <c r="V41" s="831"/>
      <c r="W41" s="831"/>
      <c r="X41" s="831"/>
    </row>
    <row r="42" spans="1:24" ht="29.4" thickBot="1" x14ac:dyDescent="0.35">
      <c r="B42" s="434" t="s">
        <v>844</v>
      </c>
      <c r="C42" s="830"/>
      <c r="D42" s="240"/>
      <c r="E42" s="240"/>
      <c r="F42" s="240"/>
      <c r="G42" s="240"/>
      <c r="H42" s="240"/>
      <c r="I42" s="240"/>
      <c r="J42" s="240"/>
      <c r="K42" s="241">
        <v>1</v>
      </c>
      <c r="L42" s="424" t="s">
        <v>845</v>
      </c>
      <c r="M42" s="425" t="s">
        <v>846</v>
      </c>
      <c r="N42" s="426" t="s">
        <v>837</v>
      </c>
      <c r="O42" s="901"/>
      <c r="P42" s="902"/>
      <c r="Q42" s="903"/>
      <c r="R42" s="418" t="s">
        <v>847</v>
      </c>
      <c r="S42" s="839" t="s">
        <v>848</v>
      </c>
      <c r="T42" s="831"/>
      <c r="U42" s="831"/>
      <c r="V42" s="831"/>
      <c r="W42" s="831"/>
      <c r="X42" s="831"/>
    </row>
    <row r="43" spans="1:24" ht="15" thickBot="1" x14ac:dyDescent="0.35">
      <c r="B43" s="433" t="s">
        <v>849</v>
      </c>
      <c r="C43" s="224"/>
      <c r="D43" s="233"/>
      <c r="E43" s="233"/>
      <c r="F43" s="233"/>
      <c r="G43" s="233"/>
      <c r="H43" s="233"/>
      <c r="I43" s="233"/>
      <c r="J43" s="233"/>
      <c r="K43" s="234"/>
      <c r="L43" s="871"/>
      <c r="M43" s="872"/>
      <c r="N43" s="873"/>
      <c r="O43" s="897"/>
      <c r="P43" s="898"/>
      <c r="Q43" s="899"/>
      <c r="R43" s="897"/>
      <c r="S43" s="904"/>
      <c r="T43" s="831"/>
      <c r="U43" s="831"/>
      <c r="V43" s="831"/>
      <c r="W43" s="831"/>
      <c r="X43" s="831"/>
    </row>
    <row r="44" spans="1:24" x14ac:dyDescent="0.3">
      <c r="B44" s="434" t="s">
        <v>850</v>
      </c>
      <c r="C44" s="830"/>
      <c r="D44" s="240"/>
      <c r="E44" s="240"/>
      <c r="F44" s="240"/>
      <c r="G44" s="240"/>
      <c r="H44" s="240"/>
      <c r="I44" s="240"/>
      <c r="J44" s="240"/>
      <c r="K44" s="241">
        <v>1</v>
      </c>
      <c r="L44" s="825" t="s">
        <v>842</v>
      </c>
      <c r="M44" s="826" t="s">
        <v>842</v>
      </c>
      <c r="N44" s="827" t="s">
        <v>842</v>
      </c>
      <c r="O44" s="423" t="s">
        <v>838</v>
      </c>
      <c r="P44" s="422" t="s">
        <v>838</v>
      </c>
      <c r="Q44" s="422" t="s">
        <v>838</v>
      </c>
      <c r="R44" s="429" t="s">
        <v>851</v>
      </c>
      <c r="S44" s="1170" t="s">
        <v>852</v>
      </c>
      <c r="T44" s="231"/>
      <c r="U44" s="831"/>
      <c r="V44" s="831"/>
      <c r="W44" s="831"/>
      <c r="X44" s="831"/>
    </row>
    <row r="45" spans="1:24" ht="28.8" x14ac:dyDescent="0.3">
      <c r="B45" s="434" t="s">
        <v>853</v>
      </c>
      <c r="C45" s="830"/>
      <c r="D45" s="240"/>
      <c r="E45" s="240"/>
      <c r="F45" s="240"/>
      <c r="G45" s="240"/>
      <c r="H45" s="240"/>
      <c r="I45" s="240"/>
      <c r="J45" s="240"/>
      <c r="K45" s="241">
        <v>1</v>
      </c>
      <c r="L45" s="820" t="s">
        <v>854</v>
      </c>
      <c r="M45" s="821" t="s">
        <v>855</v>
      </c>
      <c r="N45" s="420" t="s">
        <v>842</v>
      </c>
      <c r="O45" s="905"/>
      <c r="P45" s="906"/>
      <c r="Q45" s="906"/>
      <c r="R45" s="428" t="s">
        <v>856</v>
      </c>
      <c r="S45" s="1170"/>
      <c r="T45" s="831"/>
      <c r="U45" s="831"/>
      <c r="V45" s="831"/>
      <c r="W45" s="831"/>
      <c r="X45" s="831"/>
    </row>
    <row r="46" spans="1:24" ht="28.8" x14ac:dyDescent="0.3">
      <c r="B46" s="434" t="s">
        <v>857</v>
      </c>
      <c r="C46" s="830"/>
      <c r="D46" s="240"/>
      <c r="E46" s="240"/>
      <c r="F46" s="240"/>
      <c r="G46" s="240"/>
      <c r="H46" s="240"/>
      <c r="I46" s="240"/>
      <c r="J46" s="240"/>
      <c r="K46" s="241">
        <v>1</v>
      </c>
      <c r="L46" s="820" t="s">
        <v>854</v>
      </c>
      <c r="M46" s="821" t="s">
        <v>855</v>
      </c>
      <c r="N46" s="420" t="s">
        <v>842</v>
      </c>
      <c r="O46" s="905"/>
      <c r="P46" s="906"/>
      <c r="Q46" s="906"/>
      <c r="R46" s="428" t="s">
        <v>858</v>
      </c>
      <c r="S46" s="1170"/>
      <c r="T46" s="831"/>
      <c r="U46" s="831"/>
      <c r="V46" s="831"/>
      <c r="W46" s="831"/>
      <c r="X46" s="831"/>
    </row>
    <row r="47" spans="1:24" x14ac:dyDescent="0.3">
      <c r="B47" s="434" t="s">
        <v>859</v>
      </c>
      <c r="C47" s="830"/>
      <c r="D47" s="240"/>
      <c r="E47" s="240"/>
      <c r="F47" s="240"/>
      <c r="G47" s="240"/>
      <c r="H47" s="240"/>
      <c r="I47" s="240"/>
      <c r="J47" s="240"/>
      <c r="K47" s="241">
        <v>1</v>
      </c>
      <c r="L47" s="820" t="s">
        <v>842</v>
      </c>
      <c r="M47" s="821" t="s">
        <v>842</v>
      </c>
      <c r="N47" s="420" t="s">
        <v>842</v>
      </c>
      <c r="O47" s="905"/>
      <c r="P47" s="906"/>
      <c r="Q47" s="906"/>
      <c r="R47" s="428" t="s">
        <v>860</v>
      </c>
      <c r="S47" s="1170"/>
      <c r="T47" s="831"/>
      <c r="U47" s="831"/>
      <c r="V47" s="831"/>
      <c r="W47" s="831"/>
      <c r="X47" s="831"/>
    </row>
    <row r="48" spans="1:24" ht="15" thickBot="1" x14ac:dyDescent="0.35">
      <c r="B48" s="435" t="s">
        <v>861</v>
      </c>
      <c r="C48" s="230"/>
      <c r="D48" s="229"/>
      <c r="E48" s="229"/>
      <c r="F48" s="229"/>
      <c r="G48" s="229"/>
      <c r="H48" s="229"/>
      <c r="I48" s="229"/>
      <c r="J48" s="229"/>
      <c r="K48" s="244">
        <v>1</v>
      </c>
      <c r="L48" s="843" t="s">
        <v>842</v>
      </c>
      <c r="M48" s="844" t="s">
        <v>842</v>
      </c>
      <c r="N48" s="845" t="s">
        <v>842</v>
      </c>
      <c r="O48" s="430" t="s">
        <v>838</v>
      </c>
      <c r="P48" s="427" t="s">
        <v>838</v>
      </c>
      <c r="Q48" s="427" t="s">
        <v>838</v>
      </c>
      <c r="R48" s="431" t="s">
        <v>862</v>
      </c>
      <c r="S48" s="1170"/>
      <c r="T48" s="831"/>
      <c r="U48" s="831"/>
      <c r="V48" s="831"/>
      <c r="W48" s="831"/>
      <c r="X48" s="831"/>
    </row>
    <row r="49" spans="2:24" ht="29.4" thickBot="1" x14ac:dyDescent="0.35">
      <c r="B49" s="245" t="s">
        <v>863</v>
      </c>
      <c r="C49" s="246"/>
      <c r="D49" s="229"/>
      <c r="E49" s="229"/>
      <c r="F49" s="229"/>
      <c r="G49" s="229"/>
      <c r="H49" s="229"/>
      <c r="I49" s="229"/>
      <c r="J49" s="229"/>
      <c r="K49" s="244">
        <v>1</v>
      </c>
      <c r="L49" s="905"/>
      <c r="M49" s="844" t="s">
        <v>864</v>
      </c>
      <c r="N49" s="844" t="s">
        <v>864</v>
      </c>
      <c r="O49" s="905"/>
      <c r="P49" s="906"/>
      <c r="Q49" s="906"/>
      <c r="R49" s="907"/>
      <c r="S49" s="908" t="s">
        <v>865</v>
      </c>
      <c r="T49" s="831"/>
      <c r="U49" s="831"/>
      <c r="V49" s="831"/>
      <c r="W49" s="831"/>
      <c r="X49" s="831"/>
    </row>
    <row r="50" spans="2:24" ht="29.4" thickBot="1" x14ac:dyDescent="0.35">
      <c r="B50" s="247" t="s">
        <v>866</v>
      </c>
      <c r="C50" s="248" t="s">
        <v>867</v>
      </c>
      <c r="D50" s="249" t="s">
        <v>868</v>
      </c>
      <c r="E50" s="249" t="s">
        <v>869</v>
      </c>
      <c r="F50" s="249" t="s">
        <v>870</v>
      </c>
      <c r="G50" s="249" t="s">
        <v>870</v>
      </c>
      <c r="H50" s="249">
        <v>0</v>
      </c>
      <c r="I50" s="249">
        <v>0</v>
      </c>
      <c r="J50" s="250">
        <v>0.3</v>
      </c>
      <c r="K50" s="250">
        <v>1</v>
      </c>
      <c r="L50" s="424" t="s">
        <v>812</v>
      </c>
      <c r="M50" s="425" t="s">
        <v>814</v>
      </c>
      <c r="N50" s="425" t="s">
        <v>814</v>
      </c>
      <c r="O50" s="424" t="s">
        <v>805</v>
      </c>
      <c r="P50" s="425" t="s">
        <v>805</v>
      </c>
      <c r="Q50" s="426" t="s">
        <v>805</v>
      </c>
      <c r="R50" s="909"/>
      <c r="S50" s="251" t="s">
        <v>871</v>
      </c>
      <c r="T50" s="831"/>
      <c r="U50" s="831"/>
      <c r="V50" s="831"/>
      <c r="W50" s="831"/>
      <c r="X50" s="831"/>
    </row>
    <row r="51" spans="2:24" x14ac:dyDescent="0.3">
      <c r="B51" s="252"/>
      <c r="C51" s="252"/>
      <c r="D51" s="252"/>
      <c r="E51" s="252"/>
      <c r="F51" s="252"/>
      <c r="G51" s="252"/>
      <c r="H51" s="252"/>
      <c r="I51" s="252"/>
      <c r="J51" s="252"/>
      <c r="K51" s="252"/>
      <c r="L51" s="252"/>
      <c r="M51" s="252"/>
      <c r="N51" s="252"/>
      <c r="O51" s="252"/>
      <c r="P51" s="252"/>
      <c r="Q51" s="252"/>
      <c r="R51" s="252"/>
      <c r="S51" s="252"/>
      <c r="T51" s="831"/>
      <c r="U51" s="831"/>
      <c r="V51" s="831"/>
      <c r="W51" s="831"/>
      <c r="X51" s="831"/>
    </row>
    <row r="52" spans="2:24" x14ac:dyDescent="0.3">
      <c r="B52" s="252"/>
      <c r="C52" s="252"/>
      <c r="D52" s="252"/>
      <c r="E52" s="252"/>
      <c r="F52" s="252"/>
      <c r="G52" s="252"/>
      <c r="H52" s="252"/>
      <c r="I52" s="252"/>
      <c r="J52" s="252"/>
      <c r="K52" s="252"/>
      <c r="L52" s="252"/>
      <c r="M52" s="252"/>
      <c r="N52" s="252"/>
      <c r="O52" s="252"/>
      <c r="P52" s="252"/>
      <c r="Q52" s="252"/>
      <c r="R52" s="252"/>
      <c r="S52" s="252"/>
      <c r="T52" s="831"/>
      <c r="U52" s="831"/>
      <c r="V52" s="831"/>
      <c r="W52" s="831"/>
      <c r="X52" s="831"/>
    </row>
    <row r="53" spans="2:24" x14ac:dyDescent="0.3">
      <c r="B53" s="831"/>
      <c r="C53" s="831"/>
      <c r="D53" s="831"/>
      <c r="E53" s="831"/>
      <c r="F53" s="831"/>
      <c r="G53" s="831"/>
      <c r="H53" s="831"/>
      <c r="I53" s="831"/>
      <c r="J53" s="831"/>
      <c r="K53" s="831"/>
      <c r="L53" s="831"/>
      <c r="M53" s="831"/>
      <c r="N53" s="831"/>
      <c r="O53" s="831"/>
      <c r="P53" s="831"/>
      <c r="Q53" s="831"/>
      <c r="R53" s="831"/>
      <c r="S53" s="831"/>
      <c r="T53" s="831"/>
      <c r="U53" s="831"/>
      <c r="V53" s="831"/>
      <c r="W53" s="831"/>
      <c r="X53" s="831"/>
    </row>
    <row r="54" spans="2:24" ht="21" x14ac:dyDescent="0.4">
      <c r="B54" s="1178" t="s">
        <v>872</v>
      </c>
      <c r="C54" s="1178"/>
      <c r="D54" s="1178"/>
      <c r="E54" s="1178"/>
      <c r="F54" s="1178"/>
      <c r="G54" s="831"/>
      <c r="H54" s="831"/>
      <c r="I54" s="831"/>
      <c r="J54" s="831"/>
      <c r="K54" s="831"/>
      <c r="L54" s="831"/>
      <c r="M54" s="831"/>
      <c r="N54" s="831"/>
      <c r="O54" s="831"/>
      <c r="P54" s="831"/>
      <c r="Q54" s="831"/>
      <c r="R54" s="831"/>
      <c r="S54" s="831"/>
      <c r="T54" s="831"/>
      <c r="U54" s="831"/>
      <c r="V54" s="831"/>
      <c r="W54" s="831"/>
      <c r="X54" s="831"/>
    </row>
    <row r="55" spans="2:24" x14ac:dyDescent="0.3">
      <c r="B55" s="212" t="s">
        <v>873</v>
      </c>
      <c r="C55" s="212" t="s">
        <v>874</v>
      </c>
      <c r="D55" s="212"/>
      <c r="E55" s="831"/>
      <c r="F55" s="831"/>
      <c r="G55" s="831"/>
      <c r="H55" s="831"/>
      <c r="I55" s="831"/>
      <c r="J55" s="831"/>
      <c r="K55" s="831"/>
      <c r="L55" s="831"/>
      <c r="M55" s="831"/>
      <c r="N55" s="831"/>
      <c r="O55" s="831"/>
      <c r="P55" s="831"/>
      <c r="Q55" s="831"/>
      <c r="R55" s="831"/>
      <c r="S55" s="831"/>
      <c r="T55" s="831"/>
      <c r="U55" s="831"/>
      <c r="V55" s="831"/>
      <c r="W55" s="831"/>
      <c r="X55" s="831"/>
    </row>
    <row r="56" spans="2:24" x14ac:dyDescent="0.3">
      <c r="B56" s="212" t="s">
        <v>875</v>
      </c>
      <c r="C56" s="212" t="s">
        <v>876</v>
      </c>
      <c r="D56" s="212"/>
      <c r="E56" s="831"/>
      <c r="F56" s="831"/>
      <c r="G56" s="831"/>
      <c r="H56" s="831"/>
      <c r="I56" s="831"/>
      <c r="J56" s="831"/>
      <c r="K56" s="831"/>
      <c r="L56" s="831"/>
      <c r="M56" s="831"/>
      <c r="N56" s="831"/>
      <c r="O56" s="831"/>
      <c r="P56" s="831"/>
      <c r="Q56" s="831"/>
      <c r="R56" s="831"/>
      <c r="S56" s="831"/>
      <c r="T56" s="831"/>
      <c r="U56" s="831"/>
      <c r="V56" s="831"/>
      <c r="W56" s="831"/>
      <c r="X56" s="831"/>
    </row>
    <row r="57" spans="2:24" x14ac:dyDescent="0.3">
      <c r="B57" s="212" t="s">
        <v>877</v>
      </c>
      <c r="C57" s="212" t="s">
        <v>878</v>
      </c>
      <c r="D57" s="212"/>
      <c r="E57" s="831"/>
      <c r="F57" s="831"/>
      <c r="G57" s="831"/>
      <c r="H57" s="831"/>
      <c r="I57" s="831"/>
      <c r="J57" s="831"/>
      <c r="K57" s="831"/>
      <c r="L57" s="831"/>
      <c r="M57" s="831"/>
      <c r="N57" s="831"/>
      <c r="O57" s="831"/>
      <c r="P57" s="831"/>
      <c r="Q57" s="831"/>
      <c r="R57" s="831"/>
      <c r="S57" s="831"/>
      <c r="T57" s="831"/>
      <c r="U57" s="831"/>
      <c r="V57" s="831"/>
      <c r="W57" s="831"/>
      <c r="X57" s="831"/>
    </row>
    <row r="58" spans="2:24" x14ac:dyDescent="0.3">
      <c r="B58" s="212" t="s">
        <v>879</v>
      </c>
      <c r="C58" s="212" t="s">
        <v>880</v>
      </c>
      <c r="D58" s="212"/>
      <c r="E58" s="831"/>
      <c r="F58" s="831"/>
      <c r="G58" s="831"/>
      <c r="H58" s="831"/>
      <c r="I58" s="831"/>
      <c r="J58" s="831"/>
      <c r="K58" s="831"/>
      <c r="L58" s="831"/>
      <c r="M58" s="831"/>
      <c r="N58" s="831"/>
      <c r="O58" s="831"/>
      <c r="P58" s="831"/>
      <c r="Q58" s="831"/>
      <c r="R58" s="831"/>
      <c r="S58" s="831"/>
      <c r="T58" s="831"/>
      <c r="U58" s="831"/>
      <c r="V58" s="831"/>
      <c r="W58" s="831"/>
      <c r="X58" s="831"/>
    </row>
    <row r="59" spans="2:24" x14ac:dyDescent="0.3">
      <c r="B59" s="212" t="s">
        <v>881</v>
      </c>
      <c r="C59" s="212" t="s">
        <v>882</v>
      </c>
      <c r="D59" s="212"/>
      <c r="E59" s="831"/>
      <c r="F59" s="831"/>
      <c r="G59" s="831"/>
      <c r="H59" s="831"/>
      <c r="I59" s="831"/>
      <c r="J59" s="831"/>
      <c r="K59" s="831"/>
      <c r="L59" s="831"/>
      <c r="M59" s="831"/>
      <c r="N59" s="831"/>
      <c r="O59" s="831"/>
      <c r="P59" s="831"/>
      <c r="Q59" s="831"/>
      <c r="R59" s="831"/>
      <c r="S59" s="831"/>
      <c r="T59" s="831"/>
      <c r="U59" s="831"/>
      <c r="V59" s="831"/>
      <c r="W59" s="831"/>
      <c r="X59" s="831"/>
    </row>
    <row r="60" spans="2:24" x14ac:dyDescent="0.3">
      <c r="B60" s="212" t="s">
        <v>883</v>
      </c>
      <c r="C60" s="212" t="s">
        <v>884</v>
      </c>
      <c r="D60" s="212"/>
      <c r="E60" s="831"/>
      <c r="F60" s="831"/>
      <c r="G60" s="831"/>
      <c r="H60" s="831"/>
      <c r="I60" s="831"/>
      <c r="J60" s="831"/>
      <c r="K60" s="831"/>
      <c r="L60" s="831"/>
      <c r="M60" s="831"/>
      <c r="N60" s="831"/>
      <c r="O60" s="831"/>
      <c r="P60" s="831"/>
      <c r="Q60" s="831"/>
      <c r="R60" s="831"/>
      <c r="S60" s="831"/>
      <c r="T60" s="831"/>
      <c r="U60" s="831"/>
      <c r="V60" s="831"/>
      <c r="W60" s="831"/>
      <c r="X60" s="831"/>
    </row>
    <row r="61" spans="2:24" x14ac:dyDescent="0.3">
      <c r="B61" s="212" t="s">
        <v>885</v>
      </c>
      <c r="C61" s="212" t="s">
        <v>886</v>
      </c>
      <c r="D61" s="212"/>
      <c r="E61" s="831"/>
      <c r="F61" s="831"/>
      <c r="G61" s="831"/>
      <c r="H61" s="831"/>
      <c r="I61" s="831"/>
      <c r="J61" s="831"/>
      <c r="K61" s="831"/>
      <c r="L61" s="831"/>
      <c r="M61" s="831"/>
      <c r="N61" s="831"/>
      <c r="O61" s="831"/>
      <c r="P61" s="831"/>
      <c r="Q61" s="831"/>
      <c r="R61" s="831"/>
      <c r="S61" s="831"/>
      <c r="T61" s="831"/>
      <c r="U61" s="831"/>
      <c r="V61" s="831"/>
      <c r="W61" s="831"/>
      <c r="X61" s="831"/>
    </row>
    <row r="62" spans="2:24" x14ac:dyDescent="0.3">
      <c r="B62" s="212" t="s">
        <v>887</v>
      </c>
      <c r="C62" s="212" t="s">
        <v>888</v>
      </c>
      <c r="D62" s="212"/>
      <c r="E62" s="831"/>
      <c r="F62" s="831"/>
      <c r="G62" s="831"/>
      <c r="H62" s="831"/>
      <c r="I62" s="831"/>
      <c r="J62" s="831"/>
      <c r="K62" s="831"/>
      <c r="L62" s="831"/>
      <c r="M62" s="831"/>
      <c r="N62" s="831"/>
      <c r="O62" s="831"/>
      <c r="P62" s="831"/>
      <c r="Q62" s="831"/>
      <c r="R62" s="831"/>
      <c r="S62" s="831"/>
      <c r="T62" s="831"/>
      <c r="U62" s="831"/>
      <c r="V62" s="831"/>
      <c r="W62" s="831"/>
      <c r="X62" s="831"/>
    </row>
    <row r="63" spans="2:24" x14ac:dyDescent="0.3">
      <c r="B63" s="212" t="s">
        <v>889</v>
      </c>
      <c r="C63" s="212" t="s">
        <v>890</v>
      </c>
      <c r="D63" s="212"/>
      <c r="E63" s="831"/>
      <c r="F63" s="831"/>
      <c r="G63" s="831"/>
      <c r="H63" s="831"/>
      <c r="I63" s="831"/>
      <c r="J63" s="831"/>
      <c r="K63" s="831"/>
      <c r="L63" s="831"/>
      <c r="M63" s="831"/>
      <c r="N63" s="831"/>
      <c r="O63" s="831"/>
      <c r="P63" s="831"/>
      <c r="Q63" s="831"/>
      <c r="R63" s="831"/>
      <c r="S63" s="831"/>
      <c r="T63" s="831"/>
      <c r="U63" s="831"/>
      <c r="V63" s="831"/>
      <c r="W63" s="831"/>
      <c r="X63" s="831"/>
    </row>
    <row r="65" spans="2:24" ht="21" x14ac:dyDescent="0.4">
      <c r="B65" s="1178" t="s">
        <v>891</v>
      </c>
      <c r="C65" s="1178"/>
      <c r="D65" s="1178"/>
      <c r="E65" s="1178"/>
      <c r="F65" s="1178"/>
      <c r="G65" s="253"/>
      <c r="H65" s="253"/>
      <c r="I65" s="253"/>
      <c r="J65" s="253"/>
      <c r="K65" s="253"/>
      <c r="L65" s="253"/>
      <c r="M65" s="253"/>
      <c r="N65" s="253"/>
      <c r="O65" s="253"/>
      <c r="P65" s="253"/>
      <c r="Q65" s="253"/>
      <c r="R65" s="253"/>
      <c r="S65" s="253"/>
      <c r="T65" s="253"/>
      <c r="U65" s="253"/>
      <c r="V65" s="253"/>
      <c r="W65" s="253"/>
      <c r="X65" s="831"/>
    </row>
    <row r="66" spans="2:24" x14ac:dyDescent="0.3">
      <c r="B66" s="254">
        <v>1</v>
      </c>
      <c r="C66" s="846" t="s">
        <v>892</v>
      </c>
      <c r="D66" s="846" t="s">
        <v>893</v>
      </c>
      <c r="E66" s="254"/>
      <c r="F66" s="254"/>
      <c r="G66" s="254"/>
      <c r="H66" s="254"/>
      <c r="I66" s="254"/>
      <c r="J66" s="254"/>
      <c r="K66" s="254"/>
      <c r="L66" s="254"/>
      <c r="M66" s="254"/>
      <c r="N66" s="62" t="s">
        <v>894</v>
      </c>
      <c r="O66" s="831"/>
      <c r="P66" s="831"/>
      <c r="Q66" s="831"/>
      <c r="R66" s="831"/>
      <c r="S66" s="831"/>
      <c r="T66" s="831"/>
      <c r="U66" s="831"/>
      <c r="V66" s="831"/>
      <c r="W66" s="831"/>
      <c r="X66" s="831"/>
    </row>
    <row r="67" spans="2:24" x14ac:dyDescent="0.3">
      <c r="B67" s="254">
        <v>2</v>
      </c>
      <c r="C67" s="846" t="s">
        <v>895</v>
      </c>
      <c r="D67" s="846" t="s">
        <v>896</v>
      </c>
      <c r="E67" s="254"/>
      <c r="F67" s="254"/>
      <c r="G67" s="254"/>
      <c r="H67" s="254"/>
      <c r="I67" s="254"/>
      <c r="J67" s="254"/>
      <c r="K67" s="254"/>
      <c r="L67" s="254"/>
      <c r="M67" s="254"/>
      <c r="N67" s="62" t="s">
        <v>897</v>
      </c>
      <c r="O67" s="831"/>
      <c r="P67" s="831"/>
      <c r="Q67" s="831"/>
      <c r="R67" s="831"/>
      <c r="S67" s="831"/>
      <c r="T67" s="831"/>
      <c r="U67" s="831"/>
      <c r="V67" s="831"/>
      <c r="W67" s="831"/>
      <c r="X67" s="831"/>
    </row>
    <row r="68" spans="2:24" x14ac:dyDescent="0.3">
      <c r="B68" s="254">
        <v>3</v>
      </c>
      <c r="C68" s="846" t="s">
        <v>898</v>
      </c>
      <c r="D68" s="846" t="s">
        <v>899</v>
      </c>
      <c r="E68" s="254"/>
      <c r="F68" s="254"/>
      <c r="G68" s="254"/>
      <c r="H68" s="254"/>
      <c r="I68" s="254"/>
      <c r="J68" s="254"/>
      <c r="K68" s="254"/>
      <c r="L68" s="254"/>
      <c r="M68" s="254"/>
      <c r="N68" s="910" t="s">
        <v>900</v>
      </c>
      <c r="O68" s="831"/>
      <c r="P68" s="831"/>
      <c r="Q68" s="831"/>
      <c r="R68" s="831"/>
      <c r="S68" s="831"/>
      <c r="T68" s="831"/>
      <c r="U68" s="831"/>
      <c r="V68" s="831"/>
      <c r="W68" s="831"/>
      <c r="X68" s="831"/>
    </row>
    <row r="69" spans="2:24" x14ac:dyDescent="0.3">
      <c r="B69" s="254">
        <v>4</v>
      </c>
      <c r="C69" s="846" t="s">
        <v>901</v>
      </c>
      <c r="D69" s="846" t="s">
        <v>902</v>
      </c>
      <c r="E69" s="254"/>
      <c r="F69" s="254"/>
      <c r="G69" s="254"/>
      <c r="H69" s="254"/>
      <c r="I69" s="254"/>
      <c r="J69" s="254"/>
      <c r="K69" s="254"/>
      <c r="L69" s="254"/>
      <c r="M69" s="254"/>
      <c r="N69" s="62" t="s">
        <v>903</v>
      </c>
      <c r="O69" s="831"/>
      <c r="P69" s="831"/>
      <c r="Q69" s="831"/>
      <c r="R69" s="831"/>
      <c r="S69" s="831"/>
      <c r="T69" s="831"/>
      <c r="U69" s="831"/>
      <c r="V69" s="831"/>
      <c r="W69" s="831"/>
      <c r="X69" s="831"/>
    </row>
    <row r="70" spans="2:24" x14ac:dyDescent="0.3">
      <c r="B70" s="254">
        <v>5</v>
      </c>
      <c r="C70" s="846" t="s">
        <v>904</v>
      </c>
      <c r="D70" s="846" t="s">
        <v>905</v>
      </c>
      <c r="E70" s="254"/>
      <c r="F70" s="254"/>
      <c r="G70" s="254"/>
      <c r="H70" s="254"/>
      <c r="I70" s="254"/>
      <c r="J70" s="254"/>
      <c r="K70" s="254"/>
      <c r="L70" s="254"/>
      <c r="M70" s="254"/>
      <c r="N70" s="62" t="s">
        <v>906</v>
      </c>
      <c r="O70" s="831"/>
      <c r="P70" s="831"/>
      <c r="Q70" s="831"/>
      <c r="R70" s="831"/>
      <c r="S70" s="831"/>
      <c r="T70" s="831"/>
      <c r="U70" s="831"/>
      <c r="V70" s="831"/>
      <c r="W70" s="831"/>
      <c r="X70" s="831"/>
    </row>
    <row r="71" spans="2:24" x14ac:dyDescent="0.3">
      <c r="B71" s="254">
        <v>6</v>
      </c>
      <c r="C71" s="846" t="s">
        <v>907</v>
      </c>
      <c r="D71" s="1179" t="s">
        <v>908</v>
      </c>
      <c r="E71" s="1179"/>
      <c r="F71" s="1179"/>
      <c r="G71" s="1179"/>
      <c r="H71" s="1179"/>
      <c r="I71" s="1179"/>
      <c r="J71" s="1179"/>
      <c r="K71" s="1179"/>
      <c r="L71" s="1179"/>
      <c r="M71" s="1179"/>
      <c r="N71" s="62" t="s">
        <v>909</v>
      </c>
      <c r="O71" s="831"/>
      <c r="P71" s="831"/>
      <c r="Q71" s="831"/>
      <c r="R71" s="831"/>
      <c r="S71" s="831"/>
      <c r="T71" s="831"/>
      <c r="U71" s="831"/>
      <c r="V71" s="831"/>
      <c r="W71" s="831"/>
      <c r="X71" s="831"/>
    </row>
    <row r="72" spans="2:24" x14ac:dyDescent="0.3">
      <c r="B72" s="254">
        <v>7</v>
      </c>
      <c r="C72" s="846" t="s">
        <v>910</v>
      </c>
      <c r="D72" s="1179" t="s">
        <v>911</v>
      </c>
      <c r="E72" s="1179"/>
      <c r="F72" s="1179"/>
      <c r="G72" s="1179"/>
      <c r="H72" s="1179"/>
      <c r="I72" s="1179"/>
      <c r="J72" s="1179"/>
      <c r="K72" s="1179"/>
      <c r="L72" s="1179"/>
      <c r="M72" s="1179"/>
      <c r="N72" s="62" t="s">
        <v>912</v>
      </c>
      <c r="O72" s="831"/>
      <c r="P72" s="831"/>
      <c r="Q72" s="831"/>
      <c r="R72" s="831"/>
      <c r="S72" s="831"/>
      <c r="T72" s="831"/>
      <c r="U72" s="831"/>
      <c r="V72" s="831"/>
      <c r="W72" s="831"/>
      <c r="X72" s="831"/>
    </row>
    <row r="73" spans="2:24" x14ac:dyDescent="0.3">
      <c r="B73" s="254">
        <v>8</v>
      </c>
      <c r="C73" s="846" t="s">
        <v>913</v>
      </c>
      <c r="D73" s="846" t="s">
        <v>914</v>
      </c>
      <c r="E73" s="254"/>
      <c r="F73" s="254"/>
      <c r="G73" s="254"/>
      <c r="H73" s="254"/>
      <c r="I73" s="254"/>
      <c r="J73" s="254"/>
      <c r="K73" s="254"/>
      <c r="L73" s="254"/>
      <c r="M73" s="254"/>
      <c r="N73" s="62" t="s">
        <v>915</v>
      </c>
      <c r="O73" s="831"/>
      <c r="P73" s="831"/>
      <c r="Q73" s="831"/>
      <c r="R73" s="831"/>
      <c r="S73" s="831"/>
      <c r="T73" s="831"/>
      <c r="U73" s="831"/>
      <c r="V73" s="831"/>
      <c r="W73" s="831"/>
      <c r="X73" s="831"/>
    </row>
    <row r="74" spans="2:24" x14ac:dyDescent="0.3">
      <c r="B74" s="254">
        <v>9</v>
      </c>
      <c r="C74" s="846" t="s">
        <v>916</v>
      </c>
      <c r="D74" s="846" t="s">
        <v>917</v>
      </c>
      <c r="E74" s="254"/>
      <c r="F74" s="254"/>
      <c r="G74" s="254"/>
      <c r="H74" s="254"/>
      <c r="I74" s="254"/>
      <c r="J74" s="254"/>
      <c r="K74" s="254"/>
      <c r="L74" s="254"/>
      <c r="M74" s="254"/>
      <c r="N74" s="62" t="s">
        <v>918</v>
      </c>
      <c r="O74" s="831"/>
      <c r="P74" s="831"/>
      <c r="Q74" s="831"/>
      <c r="R74" s="831"/>
      <c r="S74" s="831"/>
      <c r="T74" s="831"/>
      <c r="U74" s="831"/>
      <c r="V74" s="831"/>
      <c r="W74" s="831"/>
      <c r="X74" s="831"/>
    </row>
    <row r="75" spans="2:24" x14ac:dyDescent="0.3">
      <c r="B75" s="254">
        <v>10</v>
      </c>
      <c r="C75" s="846" t="s">
        <v>919</v>
      </c>
      <c r="D75" s="846" t="s">
        <v>920</v>
      </c>
      <c r="E75" s="254"/>
      <c r="F75" s="254"/>
      <c r="G75" s="254"/>
      <c r="H75" s="254"/>
      <c r="I75" s="254"/>
      <c r="J75" s="254"/>
      <c r="K75" s="254"/>
      <c r="L75" s="254"/>
      <c r="M75" s="254"/>
      <c r="N75" s="62" t="s">
        <v>921</v>
      </c>
      <c r="O75" s="831"/>
      <c r="P75" s="831"/>
      <c r="Q75" s="831"/>
      <c r="R75" s="831"/>
      <c r="S75" s="831"/>
      <c r="T75" s="831"/>
      <c r="U75" s="831"/>
      <c r="V75" s="831"/>
      <c r="W75" s="831"/>
      <c r="X75" s="831"/>
    </row>
    <row r="76" spans="2:24" x14ac:dyDescent="0.3">
      <c r="B76" s="254">
        <v>11</v>
      </c>
      <c r="C76" s="846" t="s">
        <v>922</v>
      </c>
      <c r="D76" s="846" t="s">
        <v>923</v>
      </c>
      <c r="E76" s="254"/>
      <c r="F76" s="254"/>
      <c r="G76" s="254"/>
      <c r="H76" s="831"/>
      <c r="I76" s="831"/>
      <c r="J76" s="831"/>
      <c r="K76" s="831"/>
      <c r="L76" s="831"/>
      <c r="M76" s="831"/>
      <c r="N76" s="62" t="s">
        <v>924</v>
      </c>
      <c r="O76" s="831"/>
      <c r="P76" s="831"/>
      <c r="Q76" s="831"/>
      <c r="R76" s="831"/>
      <c r="S76" s="831"/>
      <c r="T76" s="831"/>
      <c r="U76" s="831"/>
      <c r="V76" s="831"/>
      <c r="W76" s="831"/>
      <c r="X76" s="831"/>
    </row>
    <row r="77" spans="2:24" x14ac:dyDescent="0.3">
      <c r="B77" s="254">
        <v>12</v>
      </c>
      <c r="C77" s="846" t="s">
        <v>925</v>
      </c>
      <c r="D77" s="846" t="s">
        <v>926</v>
      </c>
      <c r="E77" s="831"/>
      <c r="F77" s="831"/>
      <c r="G77" s="831"/>
      <c r="H77" s="831"/>
      <c r="I77" s="831"/>
      <c r="J77" s="831"/>
      <c r="K77" s="831"/>
      <c r="L77" s="831"/>
      <c r="M77" s="831"/>
      <c r="N77" s="62" t="s">
        <v>927</v>
      </c>
      <c r="O77" s="831"/>
      <c r="P77" s="831"/>
      <c r="Q77" s="831"/>
      <c r="R77" s="831"/>
      <c r="S77" s="831"/>
      <c r="T77" s="831"/>
      <c r="U77" s="831"/>
      <c r="V77" s="831"/>
      <c r="W77" s="831"/>
      <c r="X77" s="831"/>
    </row>
    <row r="78" spans="2:24" x14ac:dyDescent="0.3">
      <c r="B78" s="254">
        <v>13</v>
      </c>
      <c r="C78" s="831" t="s">
        <v>928</v>
      </c>
      <c r="D78" s="831" t="s">
        <v>929</v>
      </c>
      <c r="E78" s="831"/>
      <c r="F78" s="831"/>
      <c r="G78" s="831"/>
      <c r="H78" s="831"/>
      <c r="I78" s="831"/>
      <c r="J78" s="831"/>
      <c r="K78" s="831"/>
      <c r="L78" s="831"/>
      <c r="M78" s="831"/>
      <c r="N78" s="62" t="s">
        <v>930</v>
      </c>
      <c r="O78" s="831"/>
      <c r="P78" s="831"/>
      <c r="Q78" s="831"/>
      <c r="R78" s="831"/>
      <c r="S78" s="831"/>
      <c r="T78" s="831"/>
      <c r="U78" s="831"/>
      <c r="V78" s="831"/>
      <c r="W78" s="831"/>
      <c r="X78" s="831"/>
    </row>
    <row r="79" spans="2:24" s="29" customFormat="1" x14ac:dyDescent="0.3">
      <c r="B79" s="37">
        <v>14</v>
      </c>
      <c r="C79" s="436" t="s">
        <v>931</v>
      </c>
      <c r="D79" s="436" t="s">
        <v>932</v>
      </c>
      <c r="N79" s="437" t="s">
        <v>933</v>
      </c>
    </row>
  </sheetData>
  <mergeCells count="118">
    <mergeCell ref="B54:F54"/>
    <mergeCell ref="B65:F65"/>
    <mergeCell ref="D71:M71"/>
    <mergeCell ref="D72:M72"/>
    <mergeCell ref="U30:U31"/>
    <mergeCell ref="V30:V31"/>
    <mergeCell ref="W30:W31"/>
    <mergeCell ref="X30:X31"/>
    <mergeCell ref="S33:S34"/>
    <mergeCell ref="S44:S48"/>
    <mergeCell ref="N30:N31"/>
    <mergeCell ref="O30:O31"/>
    <mergeCell ref="P30:P31"/>
    <mergeCell ref="Q30:Q31"/>
    <mergeCell ref="R30:R31"/>
    <mergeCell ref="T30:T31"/>
    <mergeCell ref="H30:H31"/>
    <mergeCell ref="I30:I31"/>
    <mergeCell ref="J30:J31"/>
    <mergeCell ref="K30:K31"/>
    <mergeCell ref="L30:L31"/>
    <mergeCell ref="M30:M31"/>
    <mergeCell ref="T28:T29"/>
    <mergeCell ref="U28:U29"/>
    <mergeCell ref="V28:V29"/>
    <mergeCell ref="W28:W29"/>
    <mergeCell ref="X28:X29"/>
    <mergeCell ref="C30:C31"/>
    <mergeCell ref="D30:D31"/>
    <mergeCell ref="E30:E31"/>
    <mergeCell ref="F30:F31"/>
    <mergeCell ref="G30:G31"/>
    <mergeCell ref="I28:I29"/>
    <mergeCell ref="J28:J29"/>
    <mergeCell ref="K28:K29"/>
    <mergeCell ref="L28:L29"/>
    <mergeCell ref="M28:M29"/>
    <mergeCell ref="N28:N29"/>
    <mergeCell ref="U26:U27"/>
    <mergeCell ref="V26:V27"/>
    <mergeCell ref="W26:W27"/>
    <mergeCell ref="X26:X27"/>
    <mergeCell ref="C28:C29"/>
    <mergeCell ref="D28:D29"/>
    <mergeCell ref="E28:E29"/>
    <mergeCell ref="F28:F29"/>
    <mergeCell ref="G28:G29"/>
    <mergeCell ref="H28:H29"/>
    <mergeCell ref="O26:O27"/>
    <mergeCell ref="P26:P27"/>
    <mergeCell ref="Q26:Q27"/>
    <mergeCell ref="R26:R27"/>
    <mergeCell ref="S26:S31"/>
    <mergeCell ref="T26:T27"/>
    <mergeCell ref="O28:O29"/>
    <mergeCell ref="P28:P29"/>
    <mergeCell ref="Q28:Q29"/>
    <mergeCell ref="R28:R29"/>
    <mergeCell ref="I26:I27"/>
    <mergeCell ref="J26:J27"/>
    <mergeCell ref="K26:K27"/>
    <mergeCell ref="L26:L27"/>
    <mergeCell ref="M26:M27"/>
    <mergeCell ref="N26:N27"/>
    <mergeCell ref="U18:U20"/>
    <mergeCell ref="V18:V20"/>
    <mergeCell ref="W18:W20"/>
    <mergeCell ref="X18:X20"/>
    <mergeCell ref="C26:C27"/>
    <mergeCell ref="D26:D27"/>
    <mergeCell ref="E26:E27"/>
    <mergeCell ref="F26:F27"/>
    <mergeCell ref="G26:G27"/>
    <mergeCell ref="H26:H27"/>
    <mergeCell ref="N18:N20"/>
    <mergeCell ref="O18:O20"/>
    <mergeCell ref="P18:P20"/>
    <mergeCell ref="Q18:Q20"/>
    <mergeCell ref="R18:R20"/>
    <mergeCell ref="T18:T20"/>
    <mergeCell ref="H18:H20"/>
    <mergeCell ref="I18:I20"/>
    <mergeCell ref="J18:J20"/>
    <mergeCell ref="K18:K20"/>
    <mergeCell ref="L18:L20"/>
    <mergeCell ref="M18:M20"/>
    <mergeCell ref="W12:W16"/>
    <mergeCell ref="X12:X16"/>
    <mergeCell ref="H12:H16"/>
    <mergeCell ref="I12:I16"/>
    <mergeCell ref="J12:J16"/>
    <mergeCell ref="K12:K16"/>
    <mergeCell ref="L12:N16"/>
    <mergeCell ref="O12:Q16"/>
    <mergeCell ref="B18:B20"/>
    <mergeCell ref="C18:C20"/>
    <mergeCell ref="D18:D20"/>
    <mergeCell ref="E18:E20"/>
    <mergeCell ref="F18:F20"/>
    <mergeCell ref="G18:G20"/>
    <mergeCell ref="R12:R16"/>
    <mergeCell ref="T12:T16"/>
    <mergeCell ref="U12:U16"/>
    <mergeCell ref="B12:B16"/>
    <mergeCell ref="C12:C16"/>
    <mergeCell ref="D12:D16"/>
    <mergeCell ref="E12:E16"/>
    <mergeCell ref="F12:F16"/>
    <mergeCell ref="G12:G16"/>
    <mergeCell ref="C7:K7"/>
    <mergeCell ref="L7:N7"/>
    <mergeCell ref="O7:Q7"/>
    <mergeCell ref="R7:R8"/>
    <mergeCell ref="S7:S10"/>
    <mergeCell ref="E9:G9"/>
    <mergeCell ref="L9:N9"/>
    <mergeCell ref="O9:Q9"/>
    <mergeCell ref="V12:V16"/>
  </mergeCells>
  <hyperlinks>
    <hyperlink ref="N69" r:id="rId1"/>
    <hyperlink ref="N70" r:id="rId2"/>
    <hyperlink ref="N71" r:id="rId3"/>
    <hyperlink ref="N72" r:id="rId4"/>
    <hyperlink ref="N73" r:id="rId5"/>
    <hyperlink ref="N74" r:id="rId6"/>
    <hyperlink ref="N75" r:id="rId7"/>
    <hyperlink ref="N77" r:id="rId8" display="https://www.irena.org/publications/2020/Dec/Green-hydrogen-cost-reduction"/>
    <hyperlink ref="N78" r:id="rId9" display="https://www.cire.pl/pliki/2/2018/13___niewinski.pdf"/>
    <hyperlink ref="N79" r:id="rId10"/>
    <hyperlink ref="N67" r:id="rId11" location="sec3"/>
    <hyperlink ref="N66" r:id="rId12"/>
    <hyperlink ref="N76" r:id="rId13"/>
    <hyperlink ref="N68" r:id="rId14"/>
  </hyperlinks>
  <pageMargins left="0.7" right="0.7" top="0.75" bottom="0.75" header="0.3" footer="0.3"/>
  <pageSetup paperSize="9" orientation="portrait" r:id="rId15"/>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U42"/>
  <sheetViews>
    <sheetView showGridLines="0" tabSelected="1" zoomScale="70" zoomScaleNormal="70" workbookViewId="0">
      <selection activeCell="P11" sqref="P11"/>
    </sheetView>
  </sheetViews>
  <sheetFormatPr defaultColWidth="8.88671875" defaultRowHeight="14.4" x14ac:dyDescent="0.3"/>
  <cols>
    <col min="1" max="1" width="2.88671875" customWidth="1"/>
    <col min="2" max="2" width="32.44140625" customWidth="1"/>
    <col min="3" max="3" width="20.109375" customWidth="1"/>
    <col min="4" max="4" width="12.44140625" customWidth="1"/>
    <col min="5" max="5" width="11.109375" customWidth="1"/>
    <col min="6" max="6" width="11.44140625" customWidth="1"/>
    <col min="7" max="7" width="10.109375" customWidth="1"/>
    <col min="8" max="8" width="9.44140625" customWidth="1"/>
    <col min="16" max="16" width="106.44140625" customWidth="1"/>
    <col min="22" max="22" width="76.5546875" customWidth="1"/>
    <col min="23" max="23" width="36.109375" bestFit="1" customWidth="1"/>
  </cols>
  <sheetData>
    <row r="2" spans="2:16" ht="24" thickBot="1" x14ac:dyDescent="0.5">
      <c r="B2" s="3" t="s">
        <v>934</v>
      </c>
      <c r="C2" s="3"/>
      <c r="D2" s="4"/>
    </row>
    <row r="4" spans="2:16" x14ac:dyDescent="0.3">
      <c r="B4" t="s">
        <v>935</v>
      </c>
    </row>
    <row r="5" spans="2:16" x14ac:dyDescent="0.3">
      <c r="B5" t="s">
        <v>936</v>
      </c>
    </row>
    <row r="6" spans="2:16" x14ac:dyDescent="0.3">
      <c r="B6" t="s">
        <v>937</v>
      </c>
    </row>
    <row r="7" spans="2:16" x14ac:dyDescent="0.3">
      <c r="B7" t="s">
        <v>938</v>
      </c>
    </row>
    <row r="8" spans="2:16" x14ac:dyDescent="0.3">
      <c r="B8" t="s">
        <v>939</v>
      </c>
    </row>
    <row r="9" spans="2:16" x14ac:dyDescent="0.3">
      <c r="B9" t="s">
        <v>940</v>
      </c>
    </row>
    <row r="10" spans="2:16" x14ac:dyDescent="0.3">
      <c r="B10" s="73" t="s">
        <v>941</v>
      </c>
    </row>
    <row r="12" spans="2:16" x14ac:dyDescent="0.3">
      <c r="B12" s="62"/>
    </row>
    <row r="13" spans="2:16" ht="18.600000000000001" thickBot="1" x14ac:dyDescent="0.4">
      <c r="B13" s="74" t="s">
        <v>942</v>
      </c>
    </row>
    <row r="14" spans="2:16" ht="18.600000000000001" thickBot="1" x14ac:dyDescent="0.4">
      <c r="B14" s="1"/>
      <c r="C14" s="9"/>
      <c r="D14" s="9"/>
      <c r="E14" s="9"/>
      <c r="F14" s="9"/>
      <c r="G14" s="9"/>
      <c r="H14" s="9"/>
      <c r="I14" s="9"/>
      <c r="J14" s="9"/>
      <c r="K14" s="9"/>
      <c r="L14" s="9"/>
      <c r="M14" s="9"/>
      <c r="N14" s="9"/>
      <c r="O14" s="9"/>
      <c r="P14" s="9"/>
    </row>
    <row r="15" spans="2:16" ht="15" thickBot="1" x14ac:dyDescent="0.35">
      <c r="B15" s="135" t="s">
        <v>943</v>
      </c>
      <c r="C15" s="131"/>
      <c r="D15" s="134">
        <v>2023</v>
      </c>
      <c r="E15" s="132">
        <v>2024</v>
      </c>
      <c r="F15" s="133">
        <v>2025</v>
      </c>
      <c r="G15" s="133">
        <v>2026</v>
      </c>
      <c r="H15" s="133">
        <v>2027</v>
      </c>
      <c r="I15" s="133">
        <v>2028</v>
      </c>
      <c r="J15" s="133">
        <v>2029</v>
      </c>
      <c r="K15" s="133">
        <v>2030</v>
      </c>
      <c r="L15" s="133">
        <v>2031</v>
      </c>
      <c r="M15" s="133">
        <v>2032</v>
      </c>
      <c r="N15" s="133">
        <v>2033</v>
      </c>
      <c r="O15" s="178">
        <v>2034</v>
      </c>
      <c r="P15" s="176" t="s">
        <v>46</v>
      </c>
    </row>
    <row r="16" spans="2:16" x14ac:dyDescent="0.3">
      <c r="B16" s="105" t="s">
        <v>944</v>
      </c>
      <c r="C16" s="106"/>
      <c r="D16" s="1186" t="s">
        <v>945</v>
      </c>
      <c r="E16" s="1187"/>
      <c r="F16" s="1187"/>
      <c r="G16" s="1187"/>
      <c r="H16" s="1187"/>
      <c r="I16" s="1187"/>
      <c r="J16" s="1187"/>
      <c r="K16" s="1187"/>
      <c r="L16" s="1187"/>
      <c r="M16" s="1187"/>
      <c r="N16" s="1187"/>
      <c r="O16" s="1188"/>
      <c r="P16" s="6"/>
    </row>
    <row r="17" spans="2:21" ht="28.8" x14ac:dyDescent="0.3">
      <c r="B17" s="181" t="s">
        <v>946</v>
      </c>
      <c r="C17" s="182"/>
      <c r="D17" s="1189" t="s">
        <v>947</v>
      </c>
      <c r="E17" s="1190"/>
      <c r="F17" s="1190"/>
      <c r="G17" s="1190"/>
      <c r="H17" s="1190"/>
      <c r="I17" s="1190"/>
      <c r="J17" s="1190"/>
      <c r="K17" s="1190"/>
      <c r="L17" s="1190"/>
      <c r="M17" s="1190"/>
      <c r="N17" s="1190"/>
      <c r="O17" s="1191"/>
      <c r="P17" s="196" t="s">
        <v>948</v>
      </c>
    </row>
    <row r="18" spans="2:21" ht="71.400000000000006" customHeight="1" x14ac:dyDescent="0.3">
      <c r="B18" s="179" t="s">
        <v>949</v>
      </c>
      <c r="C18" s="180"/>
      <c r="D18" s="1189" t="s">
        <v>950</v>
      </c>
      <c r="E18" s="1190"/>
      <c r="F18" s="1190"/>
      <c r="G18" s="1190"/>
      <c r="H18" s="1190"/>
      <c r="I18" s="1190"/>
      <c r="J18" s="1190"/>
      <c r="K18" s="1190"/>
      <c r="L18" s="1190"/>
      <c r="M18" s="1190"/>
      <c r="N18" s="1190"/>
      <c r="O18" s="1191"/>
      <c r="P18" s="183" t="s">
        <v>951</v>
      </c>
    </row>
    <row r="19" spans="2:21" ht="51.6" customHeight="1" x14ac:dyDescent="0.3">
      <c r="B19" s="1192" t="s">
        <v>952</v>
      </c>
      <c r="C19" s="1193"/>
      <c r="D19" s="1189" t="s">
        <v>953</v>
      </c>
      <c r="E19" s="1194"/>
      <c r="F19" s="1195" t="s">
        <v>954</v>
      </c>
      <c r="G19" s="1196"/>
      <c r="H19" s="1196"/>
      <c r="I19" s="1196"/>
      <c r="J19" s="1196"/>
      <c r="K19" s="1196"/>
      <c r="L19" s="1196"/>
      <c r="M19" s="1196"/>
      <c r="N19" s="1196"/>
      <c r="O19" s="1197"/>
      <c r="P19" s="195"/>
    </row>
    <row r="20" spans="2:21" ht="14.4" customHeight="1" x14ac:dyDescent="0.3">
      <c r="B20" s="1203" t="s">
        <v>955</v>
      </c>
      <c r="C20" s="1204"/>
      <c r="D20" s="1213" t="s">
        <v>956</v>
      </c>
      <c r="E20" s="1214"/>
      <c r="F20" s="1214"/>
      <c r="G20" s="1214"/>
      <c r="H20" s="1214"/>
      <c r="I20" s="1214"/>
      <c r="J20" s="1214"/>
      <c r="K20" s="1214"/>
      <c r="L20" s="1214"/>
      <c r="M20" s="1214"/>
      <c r="N20" s="1214"/>
      <c r="O20" s="1215"/>
      <c r="P20" s="1205" t="s">
        <v>957</v>
      </c>
    </row>
    <row r="21" spans="2:21" x14ac:dyDescent="0.3">
      <c r="B21" s="1203"/>
      <c r="C21" s="1204"/>
      <c r="D21" s="1216" t="s">
        <v>958</v>
      </c>
      <c r="E21" s="1217"/>
      <c r="F21" s="1217"/>
      <c r="G21" s="1217"/>
      <c r="H21" s="1217"/>
      <c r="I21" s="1217"/>
      <c r="J21" s="1217"/>
      <c r="K21" s="1217"/>
      <c r="L21" s="1217"/>
      <c r="M21" s="1217"/>
      <c r="N21" s="1217"/>
      <c r="O21" s="1218"/>
      <c r="P21" s="1206"/>
    </row>
    <row r="22" spans="2:21" x14ac:dyDescent="0.3">
      <c r="B22" s="1203"/>
      <c r="C22" s="1204"/>
      <c r="D22" s="1219" t="s">
        <v>959</v>
      </c>
      <c r="E22" s="1220"/>
      <c r="F22" s="1220"/>
      <c r="G22" s="1220"/>
      <c r="H22" s="1220"/>
      <c r="I22" s="1220"/>
      <c r="J22" s="1220"/>
      <c r="K22" s="1220"/>
      <c r="L22" s="1220"/>
      <c r="M22" s="1220"/>
      <c r="N22" s="1220"/>
      <c r="O22" s="1221"/>
      <c r="P22" s="1207"/>
    </row>
    <row r="23" spans="2:21" ht="30.6" customHeight="1" x14ac:dyDescent="0.3">
      <c r="B23" s="1192" t="s">
        <v>960</v>
      </c>
      <c r="C23" s="1193"/>
      <c r="D23" s="1189" t="s">
        <v>961</v>
      </c>
      <c r="E23" s="1190"/>
      <c r="F23" s="1190"/>
      <c r="G23" s="1190"/>
      <c r="H23" s="1190"/>
      <c r="I23" s="1190"/>
      <c r="J23" s="1190"/>
      <c r="K23" s="1190"/>
      <c r="L23" s="1190"/>
      <c r="M23" s="1190"/>
      <c r="N23" s="1190"/>
      <c r="O23" s="1191"/>
      <c r="P23" s="108" t="s">
        <v>962</v>
      </c>
    </row>
    <row r="24" spans="2:21" ht="31.35" customHeight="1" x14ac:dyDescent="0.3">
      <c r="B24" s="1208" t="s">
        <v>963</v>
      </c>
      <c r="C24" s="1209"/>
      <c r="D24" s="1210" t="s">
        <v>964</v>
      </c>
      <c r="E24" s="1211"/>
      <c r="F24" s="1211"/>
      <c r="G24" s="1211"/>
      <c r="H24" s="1211"/>
      <c r="I24" s="1211"/>
      <c r="J24" s="1211"/>
      <c r="K24" s="1211"/>
      <c r="L24" s="1211"/>
      <c r="M24" s="1211"/>
      <c r="N24" s="1211"/>
      <c r="O24" s="1212"/>
      <c r="P24" s="6"/>
    </row>
    <row r="25" spans="2:21" ht="31.35" customHeight="1" thickBot="1" x14ac:dyDescent="0.35">
      <c r="B25" s="1198" t="s">
        <v>965</v>
      </c>
      <c r="C25" s="1199"/>
      <c r="D25" s="1200" t="s">
        <v>966</v>
      </c>
      <c r="E25" s="1201"/>
      <c r="F25" s="1201"/>
      <c r="G25" s="1201"/>
      <c r="H25" s="1201"/>
      <c r="I25" s="1201"/>
      <c r="J25" s="1201"/>
      <c r="K25" s="1201"/>
      <c r="L25" s="1201"/>
      <c r="M25" s="1201"/>
      <c r="N25" s="1201"/>
      <c r="O25" s="1202"/>
      <c r="P25" s="193" t="s">
        <v>967</v>
      </c>
    </row>
    <row r="26" spans="2:21" ht="31.35" customHeight="1" x14ac:dyDescent="0.3">
      <c r="B26" s="187"/>
      <c r="C26" s="187"/>
      <c r="D26" s="187"/>
      <c r="E26" s="192"/>
      <c r="F26" s="95"/>
      <c r="G26" s="95"/>
      <c r="H26" s="95"/>
      <c r="I26" s="95"/>
      <c r="J26" s="95"/>
      <c r="K26" s="95"/>
      <c r="L26" s="95"/>
      <c r="M26" s="95"/>
      <c r="N26" s="95"/>
      <c r="O26" s="95"/>
      <c r="P26" s="95"/>
    </row>
    <row r="27" spans="2:21" ht="31.35" customHeight="1" thickBot="1" x14ac:dyDescent="0.4">
      <c r="B27" s="74" t="s">
        <v>968</v>
      </c>
      <c r="C27" s="187"/>
      <c r="D27" s="192"/>
      <c r="E27" s="192"/>
      <c r="F27" s="95"/>
      <c r="G27" s="95"/>
      <c r="H27" s="95"/>
      <c r="I27" s="95"/>
      <c r="J27" s="95"/>
      <c r="K27" s="95"/>
      <c r="L27" s="95"/>
      <c r="M27" s="95"/>
      <c r="N27" s="95"/>
      <c r="O27" s="95"/>
      <c r="P27" s="95"/>
      <c r="U27" s="95"/>
    </row>
    <row r="28" spans="2:21" ht="13.35" customHeight="1" thickBot="1" x14ac:dyDescent="0.35">
      <c r="B28" s="187"/>
      <c r="C28" s="187"/>
      <c r="D28" s="187"/>
      <c r="E28" s="192"/>
      <c r="F28" s="95"/>
      <c r="G28" s="95"/>
      <c r="H28" s="95"/>
      <c r="I28" s="95"/>
      <c r="J28" s="95"/>
      <c r="K28" s="95"/>
      <c r="L28" s="95"/>
      <c r="M28" s="95"/>
      <c r="N28" s="95"/>
      <c r="O28" s="95"/>
      <c r="P28" s="95"/>
      <c r="U28" s="95"/>
    </row>
    <row r="29" spans="2:21" ht="15.6" customHeight="1" thickBot="1" x14ac:dyDescent="0.35">
      <c r="B29" s="135" t="s">
        <v>969</v>
      </c>
      <c r="C29" s="178"/>
      <c r="D29" s="177">
        <v>2023</v>
      </c>
      <c r="E29" s="191">
        <v>2024</v>
      </c>
      <c r="F29" s="190">
        <v>2025</v>
      </c>
      <c r="G29" s="190">
        <v>2026</v>
      </c>
      <c r="H29" s="190">
        <v>2027</v>
      </c>
      <c r="I29" s="190">
        <v>2028</v>
      </c>
      <c r="J29" s="190">
        <v>2029</v>
      </c>
      <c r="K29" s="190">
        <v>2030</v>
      </c>
      <c r="L29" s="190">
        <v>2031</v>
      </c>
      <c r="M29" s="190">
        <v>2032</v>
      </c>
      <c r="N29" s="190">
        <v>2033</v>
      </c>
      <c r="O29" s="177">
        <v>2034</v>
      </c>
      <c r="P29" s="176" t="s">
        <v>970</v>
      </c>
      <c r="S29" s="95"/>
      <c r="T29" s="95"/>
      <c r="U29" s="95"/>
    </row>
    <row r="30" spans="2:21" ht="15" customHeight="1" x14ac:dyDescent="0.3">
      <c r="B30" s="187" t="s">
        <v>971</v>
      </c>
      <c r="C30" s="199" t="s">
        <v>972</v>
      </c>
      <c r="D30" s="197">
        <v>39.04</v>
      </c>
      <c r="E30" s="186">
        <v>49.36</v>
      </c>
      <c r="F30" s="186">
        <v>59.68</v>
      </c>
      <c r="G30" s="186">
        <v>70</v>
      </c>
      <c r="H30" s="186">
        <v>70</v>
      </c>
      <c r="I30" s="186">
        <v>70</v>
      </c>
      <c r="J30" s="186">
        <v>70</v>
      </c>
      <c r="K30" s="186">
        <v>70</v>
      </c>
      <c r="L30" s="186">
        <v>70</v>
      </c>
      <c r="M30" s="186">
        <v>70</v>
      </c>
      <c r="N30" s="186">
        <v>70</v>
      </c>
      <c r="O30" s="186">
        <v>70</v>
      </c>
      <c r="P30" s="183" t="s">
        <v>973</v>
      </c>
      <c r="Q30" s="95"/>
      <c r="R30" s="95"/>
      <c r="S30" s="95"/>
      <c r="T30" s="95"/>
      <c r="U30" s="95"/>
    </row>
    <row r="31" spans="2:21" ht="17.399999999999999" customHeight="1" x14ac:dyDescent="0.3">
      <c r="B31" s="187" t="s">
        <v>974</v>
      </c>
      <c r="C31" s="194" t="s">
        <v>972</v>
      </c>
      <c r="D31" s="197">
        <v>70</v>
      </c>
      <c r="E31" s="186">
        <v>70</v>
      </c>
      <c r="F31" s="186">
        <v>70</v>
      </c>
      <c r="G31" s="186">
        <v>70</v>
      </c>
      <c r="H31" s="186">
        <v>70</v>
      </c>
      <c r="I31" s="186">
        <v>70</v>
      </c>
      <c r="J31" s="186">
        <v>70</v>
      </c>
      <c r="K31" s="186">
        <v>70</v>
      </c>
      <c r="L31" s="186">
        <v>70</v>
      </c>
      <c r="M31" s="186">
        <v>70</v>
      </c>
      <c r="N31" s="186">
        <v>70</v>
      </c>
      <c r="O31" s="186">
        <v>70</v>
      </c>
      <c r="P31" s="183" t="s">
        <v>975</v>
      </c>
      <c r="Q31" s="95"/>
      <c r="R31" s="95"/>
      <c r="S31" s="95"/>
      <c r="T31" s="95"/>
      <c r="U31" s="95"/>
    </row>
    <row r="32" spans="2:21" ht="14.4" customHeight="1" x14ac:dyDescent="0.3">
      <c r="B32" s="187" t="s">
        <v>976</v>
      </c>
      <c r="C32" s="194" t="s">
        <v>972</v>
      </c>
      <c r="D32" s="197">
        <v>47.8</v>
      </c>
      <c r="E32" s="186">
        <v>55.2</v>
      </c>
      <c r="F32" s="186">
        <v>62.6</v>
      </c>
      <c r="G32" s="186">
        <v>70</v>
      </c>
      <c r="H32" s="186">
        <v>70</v>
      </c>
      <c r="I32" s="186">
        <v>70</v>
      </c>
      <c r="J32" s="186">
        <v>70</v>
      </c>
      <c r="K32" s="186">
        <v>70</v>
      </c>
      <c r="L32" s="186">
        <v>70</v>
      </c>
      <c r="M32" s="186">
        <v>70</v>
      </c>
      <c r="N32" s="186">
        <v>70</v>
      </c>
      <c r="O32" s="186">
        <v>70</v>
      </c>
      <c r="P32" s="183" t="s">
        <v>977</v>
      </c>
      <c r="Q32" s="95"/>
      <c r="R32" s="95"/>
      <c r="S32" s="95"/>
      <c r="T32" s="95"/>
      <c r="U32" s="95"/>
    </row>
    <row r="33" spans="2:21" ht="16.350000000000001" customHeight="1" x14ac:dyDescent="0.3">
      <c r="B33" s="187" t="s">
        <v>978</v>
      </c>
      <c r="C33" s="194" t="s">
        <v>972</v>
      </c>
      <c r="D33" s="197">
        <v>40.78</v>
      </c>
      <c r="E33" s="186">
        <v>50.519999999999996</v>
      </c>
      <c r="F33" s="186">
        <v>60.260000000000005</v>
      </c>
      <c r="G33" s="186">
        <v>70</v>
      </c>
      <c r="H33" s="186">
        <v>70</v>
      </c>
      <c r="I33" s="186">
        <v>70</v>
      </c>
      <c r="J33" s="186">
        <v>70</v>
      </c>
      <c r="K33" s="186">
        <v>70</v>
      </c>
      <c r="L33" s="186">
        <v>70</v>
      </c>
      <c r="M33" s="186">
        <v>70</v>
      </c>
      <c r="N33" s="186">
        <v>70</v>
      </c>
      <c r="O33" s="186">
        <v>70</v>
      </c>
      <c r="P33" s="183" t="s">
        <v>979</v>
      </c>
      <c r="Q33" s="95"/>
      <c r="R33" s="95"/>
      <c r="S33" s="95"/>
      <c r="T33" s="95"/>
      <c r="U33" s="95"/>
    </row>
    <row r="34" spans="2:21" ht="19.350000000000001" customHeight="1" x14ac:dyDescent="0.3">
      <c r="B34" s="187" t="s">
        <v>980</v>
      </c>
      <c r="C34" s="194" t="s">
        <v>972</v>
      </c>
      <c r="D34" s="197">
        <v>70</v>
      </c>
      <c r="E34" s="186">
        <v>70</v>
      </c>
      <c r="F34" s="186">
        <v>70</v>
      </c>
      <c r="G34" s="186">
        <v>70</v>
      </c>
      <c r="H34" s="186">
        <v>70</v>
      </c>
      <c r="I34" s="186">
        <v>70</v>
      </c>
      <c r="J34" s="186">
        <v>70</v>
      </c>
      <c r="K34" s="186">
        <v>70</v>
      </c>
      <c r="L34" s="186">
        <v>70</v>
      </c>
      <c r="M34" s="186">
        <v>70</v>
      </c>
      <c r="N34" s="189">
        <v>70</v>
      </c>
      <c r="O34" s="188">
        <v>70</v>
      </c>
      <c r="P34" s="107"/>
      <c r="Q34" s="95"/>
      <c r="R34" s="95"/>
      <c r="S34" s="95"/>
      <c r="T34" s="95"/>
      <c r="U34" s="95"/>
    </row>
    <row r="35" spans="2:21" ht="19.350000000000001" customHeight="1" x14ac:dyDescent="0.3">
      <c r="B35" s="187" t="s">
        <v>981</v>
      </c>
      <c r="C35" s="194" t="s">
        <v>972</v>
      </c>
      <c r="D35" s="197">
        <v>70</v>
      </c>
      <c r="E35" s="186">
        <v>70</v>
      </c>
      <c r="F35" s="186">
        <v>70</v>
      </c>
      <c r="G35" s="186">
        <v>70</v>
      </c>
      <c r="H35" s="186">
        <v>70</v>
      </c>
      <c r="I35" s="186">
        <v>70</v>
      </c>
      <c r="J35" s="186">
        <v>70</v>
      </c>
      <c r="K35" s="186">
        <v>70</v>
      </c>
      <c r="L35" s="186">
        <v>70</v>
      </c>
      <c r="M35" s="186">
        <v>70</v>
      </c>
      <c r="N35" s="189">
        <v>70</v>
      </c>
      <c r="O35" s="188">
        <v>70</v>
      </c>
      <c r="P35" s="107"/>
      <c r="Q35" s="95"/>
      <c r="R35" s="95"/>
      <c r="S35" s="95"/>
      <c r="T35" s="95"/>
      <c r="U35" s="95"/>
    </row>
    <row r="36" spans="2:21" ht="17.399999999999999" customHeight="1" x14ac:dyDescent="0.3">
      <c r="B36" s="187" t="s">
        <v>982</v>
      </c>
      <c r="C36" s="194" t="s">
        <v>972</v>
      </c>
      <c r="D36" s="197">
        <v>70</v>
      </c>
      <c r="E36" s="186">
        <v>70</v>
      </c>
      <c r="F36" s="186">
        <v>70</v>
      </c>
      <c r="G36" s="186">
        <v>70</v>
      </c>
      <c r="H36" s="186">
        <v>70</v>
      </c>
      <c r="I36" s="186">
        <v>70</v>
      </c>
      <c r="J36" s="186">
        <v>70</v>
      </c>
      <c r="K36" s="186">
        <v>70</v>
      </c>
      <c r="L36" s="186">
        <v>70</v>
      </c>
      <c r="M36" s="186">
        <v>70</v>
      </c>
      <c r="N36" s="186">
        <v>70</v>
      </c>
      <c r="O36" s="186">
        <v>70</v>
      </c>
      <c r="P36" s="183" t="s">
        <v>983</v>
      </c>
      <c r="Q36" s="95"/>
      <c r="R36" s="95"/>
      <c r="S36" s="95"/>
      <c r="T36" s="95"/>
      <c r="U36" s="95"/>
    </row>
    <row r="37" spans="2:21" ht="17.399999999999999" customHeight="1" x14ac:dyDescent="0.3">
      <c r="B37" s="187" t="s">
        <v>984</v>
      </c>
      <c r="C37" s="194" t="s">
        <v>972</v>
      </c>
      <c r="D37" s="197">
        <v>47.8</v>
      </c>
      <c r="E37" s="186">
        <v>55.2</v>
      </c>
      <c r="F37" s="186">
        <v>62.6</v>
      </c>
      <c r="G37" s="186">
        <v>70</v>
      </c>
      <c r="H37" s="186">
        <v>70</v>
      </c>
      <c r="I37" s="186">
        <v>70</v>
      </c>
      <c r="J37" s="186">
        <v>70</v>
      </c>
      <c r="K37" s="186">
        <v>70</v>
      </c>
      <c r="L37" s="186">
        <v>70</v>
      </c>
      <c r="M37" s="186">
        <v>70</v>
      </c>
      <c r="N37" s="186">
        <v>70</v>
      </c>
      <c r="O37" s="186">
        <v>70</v>
      </c>
      <c r="P37" s="183" t="s">
        <v>985</v>
      </c>
      <c r="Q37" s="95"/>
      <c r="R37" s="95"/>
      <c r="S37" s="95"/>
      <c r="T37" s="95"/>
      <c r="U37" s="95"/>
    </row>
    <row r="38" spans="2:21" ht="17.399999999999999" customHeight="1" x14ac:dyDescent="0.3">
      <c r="B38" s="187" t="s">
        <v>986</v>
      </c>
      <c r="C38" s="194" t="s">
        <v>972</v>
      </c>
      <c r="D38" s="197">
        <v>70</v>
      </c>
      <c r="E38" s="186">
        <v>70</v>
      </c>
      <c r="F38" s="186">
        <v>70</v>
      </c>
      <c r="G38" s="186">
        <v>70</v>
      </c>
      <c r="H38" s="186">
        <v>70</v>
      </c>
      <c r="I38" s="186">
        <v>70</v>
      </c>
      <c r="J38" s="186">
        <v>70</v>
      </c>
      <c r="K38" s="186">
        <v>70</v>
      </c>
      <c r="L38" s="186">
        <v>70</v>
      </c>
      <c r="M38" s="186">
        <v>70</v>
      </c>
      <c r="N38" s="186">
        <v>70</v>
      </c>
      <c r="O38" s="186">
        <v>70</v>
      </c>
      <c r="P38" s="183" t="s">
        <v>987</v>
      </c>
      <c r="Q38" s="95"/>
      <c r="R38" s="95"/>
      <c r="S38" s="95"/>
      <c r="T38" s="95"/>
      <c r="U38" s="95"/>
    </row>
    <row r="39" spans="2:21" ht="17.399999999999999" customHeight="1" x14ac:dyDescent="0.3">
      <c r="B39" s="187" t="s">
        <v>988</v>
      </c>
      <c r="C39" s="194" t="s">
        <v>972</v>
      </c>
      <c r="D39" s="197">
        <v>70</v>
      </c>
      <c r="E39" s="186">
        <v>70</v>
      </c>
      <c r="F39" s="186">
        <v>70</v>
      </c>
      <c r="G39" s="186">
        <v>70</v>
      </c>
      <c r="H39" s="186">
        <v>70</v>
      </c>
      <c r="I39" s="186">
        <v>70</v>
      </c>
      <c r="J39" s="186">
        <v>70</v>
      </c>
      <c r="K39" s="186">
        <v>70</v>
      </c>
      <c r="L39" s="186">
        <v>70</v>
      </c>
      <c r="M39" s="186">
        <v>70</v>
      </c>
      <c r="N39" s="186">
        <v>70</v>
      </c>
      <c r="O39" s="186">
        <v>70</v>
      </c>
      <c r="P39" s="183" t="s">
        <v>989</v>
      </c>
      <c r="Q39" s="95"/>
      <c r="R39" s="95"/>
      <c r="S39" s="95"/>
      <c r="T39" s="95"/>
      <c r="U39" s="95"/>
    </row>
    <row r="40" spans="2:21" ht="17.399999999999999" customHeight="1" x14ac:dyDescent="0.3">
      <c r="B40" s="187" t="s">
        <v>990</v>
      </c>
      <c r="C40" s="194" t="s">
        <v>991</v>
      </c>
      <c r="D40" s="197">
        <v>49.6</v>
      </c>
      <c r="E40" s="186">
        <v>56.4</v>
      </c>
      <c r="F40" s="186">
        <v>63.2</v>
      </c>
      <c r="G40" s="186">
        <v>70</v>
      </c>
      <c r="H40" s="186">
        <v>70</v>
      </c>
      <c r="I40" s="186">
        <v>70</v>
      </c>
      <c r="J40" s="186">
        <v>70</v>
      </c>
      <c r="K40" s="186">
        <v>70</v>
      </c>
      <c r="L40" s="186">
        <v>70</v>
      </c>
      <c r="M40" s="186">
        <v>70</v>
      </c>
      <c r="N40" s="186">
        <v>70</v>
      </c>
      <c r="O40" s="186">
        <v>70</v>
      </c>
      <c r="P40" s="183" t="s">
        <v>992</v>
      </c>
      <c r="Q40" s="95"/>
      <c r="R40" s="95"/>
      <c r="S40" s="95"/>
      <c r="T40" s="95"/>
      <c r="U40" s="95"/>
    </row>
    <row r="41" spans="2:21" ht="17.399999999999999" customHeight="1" thickBot="1" x14ac:dyDescent="0.35">
      <c r="B41" s="185" t="s">
        <v>993</v>
      </c>
      <c r="C41" s="200" t="s">
        <v>991</v>
      </c>
      <c r="D41" s="198">
        <v>70</v>
      </c>
      <c r="E41" s="184">
        <v>70</v>
      </c>
      <c r="F41" s="184">
        <v>70</v>
      </c>
      <c r="G41" s="184">
        <v>70</v>
      </c>
      <c r="H41" s="184">
        <v>70</v>
      </c>
      <c r="I41" s="184">
        <v>70</v>
      </c>
      <c r="J41" s="184">
        <v>70</v>
      </c>
      <c r="K41" s="184">
        <v>70</v>
      </c>
      <c r="L41" s="184">
        <v>70</v>
      </c>
      <c r="M41" s="184">
        <v>70</v>
      </c>
      <c r="N41" s="184">
        <v>70</v>
      </c>
      <c r="O41" s="184">
        <v>70</v>
      </c>
      <c r="P41" s="193" t="s">
        <v>994</v>
      </c>
      <c r="Q41" s="95"/>
      <c r="R41" s="95"/>
      <c r="S41" s="95"/>
      <c r="T41" s="95"/>
      <c r="U41" s="95"/>
    </row>
    <row r="42" spans="2:21" x14ac:dyDescent="0.3">
      <c r="B42" s="96"/>
      <c r="C42" s="43"/>
      <c r="D42" s="43"/>
      <c r="E42" s="95"/>
      <c r="F42" s="95"/>
    </row>
  </sheetData>
  <mergeCells count="17">
    <mergeCell ref="B25:C25"/>
    <mergeCell ref="D25:O25"/>
    <mergeCell ref="B20:C22"/>
    <mergeCell ref="P20:P22"/>
    <mergeCell ref="B23:C23"/>
    <mergeCell ref="D23:O23"/>
    <mergeCell ref="B24:C24"/>
    <mergeCell ref="D24:O24"/>
    <mergeCell ref="D20:O20"/>
    <mergeCell ref="D21:O21"/>
    <mergeCell ref="D22:O22"/>
    <mergeCell ref="D16:O16"/>
    <mergeCell ref="D17:O17"/>
    <mergeCell ref="D18:O18"/>
    <mergeCell ref="B19:C19"/>
    <mergeCell ref="D19:E19"/>
    <mergeCell ref="F19:O19"/>
  </mergeCells>
  <conditionalFormatting sqref="D30:O30">
    <cfRule type="colorScale" priority="5">
      <colorScale>
        <cfvo type="min"/>
        <cfvo type="percentile" val="50"/>
        <cfvo type="max"/>
        <color rgb="FFF8696B"/>
        <color rgb="FFFFEB84"/>
        <color rgb="FF63BE7B"/>
      </colorScale>
    </cfRule>
  </conditionalFormatting>
  <conditionalFormatting sqref="D32:O32">
    <cfRule type="colorScale" priority="4">
      <colorScale>
        <cfvo type="min"/>
        <cfvo type="percentile" val="50"/>
        <cfvo type="max"/>
        <color rgb="FFF8696B"/>
        <color rgb="FFFFEB84"/>
        <color rgb="FF63BE7B"/>
      </colorScale>
    </cfRule>
  </conditionalFormatting>
  <conditionalFormatting sqref="D33:O40">
    <cfRule type="colorScale" priority="3">
      <colorScale>
        <cfvo type="min"/>
        <cfvo type="percentile" val="50"/>
        <cfvo type="max"/>
        <color rgb="FFF8696B"/>
        <color rgb="FFFFEB84"/>
        <color rgb="FF63BE7B"/>
      </colorScale>
    </cfRule>
  </conditionalFormatting>
  <conditionalFormatting sqref="D31:O31">
    <cfRule type="colorScale" priority="2">
      <colorScale>
        <cfvo type="min"/>
        <cfvo type="percentile" val="50"/>
        <cfvo type="max"/>
        <color rgb="FFF8696B"/>
        <color rgb="FFFFEB84"/>
        <color rgb="FF63BE7B"/>
      </colorScale>
    </cfRule>
  </conditionalFormatting>
  <conditionalFormatting sqref="D41:O41">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BB89"/>
  <sheetViews>
    <sheetView showGridLines="0" topLeftCell="D24" zoomScale="70" zoomScaleNormal="70" workbookViewId="0">
      <selection activeCell="Y47" sqref="Y47"/>
    </sheetView>
  </sheetViews>
  <sheetFormatPr defaultColWidth="8.88671875" defaultRowHeight="14.4" x14ac:dyDescent="0.3"/>
  <cols>
    <col min="1" max="1" width="2.88671875" customWidth="1"/>
    <col min="2" max="2" width="32.44140625" customWidth="1"/>
    <col min="3" max="3" width="16.5546875" customWidth="1"/>
    <col min="4" max="4" width="10.109375" customWidth="1"/>
    <col min="5" max="17" width="10" customWidth="1"/>
  </cols>
  <sheetData>
    <row r="2" spans="2:54" ht="24" thickBot="1" x14ac:dyDescent="0.5">
      <c r="B2" s="3" t="s">
        <v>24</v>
      </c>
      <c r="C2" s="3"/>
    </row>
    <row r="5" spans="2:54" x14ac:dyDescent="0.3">
      <c r="B5" t="s">
        <v>995</v>
      </c>
    </row>
    <row r="7" spans="2:54" x14ac:dyDescent="0.3">
      <c r="B7" s="142" t="s">
        <v>996</v>
      </c>
    </row>
    <row r="8" spans="2:54" x14ac:dyDescent="0.3">
      <c r="B8" s="142" t="s">
        <v>997</v>
      </c>
    </row>
    <row r="9" spans="2:54" x14ac:dyDescent="0.3">
      <c r="B9" s="142" t="s">
        <v>998</v>
      </c>
    </row>
    <row r="11" spans="2:54" s="306" customFormat="1" ht="21" x14ac:dyDescent="0.4">
      <c r="B11" s="307" t="s">
        <v>980</v>
      </c>
      <c r="C11" s="315"/>
      <c r="D11" s="315"/>
      <c r="E11" s="315"/>
      <c r="F11" s="315"/>
      <c r="G11" s="315"/>
      <c r="H11" s="315"/>
      <c r="I11" s="315"/>
      <c r="J11" s="315"/>
      <c r="K11" s="315"/>
      <c r="L11" s="315"/>
      <c r="M11" s="315"/>
      <c r="N11" s="315"/>
      <c r="O11" s="315"/>
      <c r="P11" s="315"/>
      <c r="Q11" s="315"/>
      <c r="R11" s="312"/>
      <c r="S11" s="312"/>
      <c r="T11" s="312"/>
      <c r="U11" s="312"/>
      <c r="V11" s="312"/>
      <c r="W11" s="312"/>
      <c r="X11" s="313"/>
      <c r="Y11" s="313"/>
      <c r="Z11" s="313"/>
      <c r="AA11" s="313"/>
      <c r="AB11" s="313"/>
      <c r="AC11" s="313"/>
      <c r="AD11" s="313"/>
      <c r="AE11" s="313"/>
      <c r="AF11" s="313"/>
      <c r="AG11" s="314"/>
      <c r="AH11" s="314"/>
      <c r="AI11" s="314"/>
      <c r="AJ11" s="314"/>
      <c r="AK11" s="314"/>
      <c r="AL11" s="314"/>
      <c r="AM11" s="314"/>
      <c r="AN11" s="314"/>
      <c r="AO11" s="314"/>
      <c r="AP11" s="314"/>
      <c r="AQ11" s="314"/>
      <c r="AR11" s="314"/>
      <c r="AS11" s="314"/>
      <c r="AT11" s="314"/>
      <c r="AU11" s="314"/>
      <c r="AV11" s="314"/>
      <c r="AW11" s="314"/>
      <c r="AX11" s="314"/>
      <c r="AY11" s="314"/>
      <c r="AZ11" s="314"/>
      <c r="BA11" s="314"/>
      <c r="BB11" s="314"/>
    </row>
    <row r="12" spans="2:54" ht="15" thickBot="1" x14ac:dyDescent="0.35"/>
    <row r="13" spans="2:54" ht="15" thickBot="1" x14ac:dyDescent="0.35">
      <c r="C13" s="353" t="s">
        <v>747</v>
      </c>
      <c r="D13" s="401" t="s">
        <v>999</v>
      </c>
      <c r="E13" s="353">
        <v>2022</v>
      </c>
      <c r="F13" s="398">
        <v>2023</v>
      </c>
      <c r="G13" s="398">
        <v>2024</v>
      </c>
      <c r="H13" s="398">
        <v>2025</v>
      </c>
      <c r="I13" s="398">
        <v>2026</v>
      </c>
      <c r="J13" s="398">
        <v>2027</v>
      </c>
      <c r="K13" s="398">
        <v>2028</v>
      </c>
      <c r="L13" s="398">
        <v>2029</v>
      </c>
      <c r="M13" s="398">
        <v>2030</v>
      </c>
      <c r="N13" s="398">
        <v>2031</v>
      </c>
      <c r="O13" s="398">
        <v>2032</v>
      </c>
      <c r="P13" s="398">
        <v>2033</v>
      </c>
      <c r="Q13" s="399">
        <v>2034</v>
      </c>
      <c r="S13" t="s">
        <v>1000</v>
      </c>
    </row>
    <row r="14" spans="2:54" x14ac:dyDescent="0.3">
      <c r="C14" s="400" t="s">
        <v>1001</v>
      </c>
      <c r="D14" s="402" t="s">
        <v>1002</v>
      </c>
      <c r="E14" s="412">
        <v>468</v>
      </c>
      <c r="F14" s="413">
        <v>475</v>
      </c>
      <c r="G14" s="413">
        <v>480</v>
      </c>
      <c r="H14" s="413">
        <v>489</v>
      </c>
      <c r="I14" s="413">
        <v>497</v>
      </c>
      <c r="J14" s="413">
        <v>506</v>
      </c>
      <c r="K14" s="413">
        <v>516</v>
      </c>
      <c r="L14" s="413">
        <v>525</v>
      </c>
      <c r="M14" s="413">
        <v>538</v>
      </c>
      <c r="N14" s="413">
        <v>547</v>
      </c>
      <c r="O14" s="413">
        <v>557</v>
      </c>
      <c r="P14" s="413">
        <v>566</v>
      </c>
      <c r="Q14" s="414">
        <v>575</v>
      </c>
      <c r="S14" t="s">
        <v>1003</v>
      </c>
    </row>
    <row r="15" spans="2:54" x14ac:dyDescent="0.3">
      <c r="C15" s="6" t="s">
        <v>1004</v>
      </c>
      <c r="D15" s="403" t="s">
        <v>1005</v>
      </c>
      <c r="E15" s="410">
        <v>13</v>
      </c>
      <c r="F15" s="76">
        <v>15</v>
      </c>
      <c r="G15" s="76">
        <v>18</v>
      </c>
      <c r="H15" s="76">
        <v>21</v>
      </c>
      <c r="I15" s="76">
        <v>24</v>
      </c>
      <c r="J15" s="76">
        <v>27</v>
      </c>
      <c r="K15" s="76">
        <v>30</v>
      </c>
      <c r="L15" s="76">
        <v>32</v>
      </c>
      <c r="M15" s="76">
        <v>34</v>
      </c>
      <c r="N15" s="76">
        <v>35</v>
      </c>
      <c r="O15" s="76">
        <v>35</v>
      </c>
      <c r="P15" s="76">
        <v>35</v>
      </c>
      <c r="Q15" s="411">
        <v>36</v>
      </c>
      <c r="S15" t="s">
        <v>1006</v>
      </c>
    </row>
    <row r="16" spans="2:54" x14ac:dyDescent="0.3">
      <c r="C16" s="6" t="s">
        <v>1007</v>
      </c>
      <c r="D16" s="403" t="s">
        <v>1005</v>
      </c>
      <c r="E16" s="410">
        <v>0</v>
      </c>
      <c r="F16" s="76">
        <v>1</v>
      </c>
      <c r="G16" s="76">
        <v>2</v>
      </c>
      <c r="H16" s="76">
        <v>3</v>
      </c>
      <c r="I16" s="76">
        <v>3</v>
      </c>
      <c r="J16" s="76">
        <v>4</v>
      </c>
      <c r="K16" s="76">
        <v>5</v>
      </c>
      <c r="L16" s="76">
        <v>6</v>
      </c>
      <c r="M16" s="76">
        <v>8</v>
      </c>
      <c r="N16" s="76">
        <v>10</v>
      </c>
      <c r="O16" s="76">
        <v>13</v>
      </c>
      <c r="P16" s="76">
        <v>15</v>
      </c>
      <c r="Q16" s="411">
        <v>18</v>
      </c>
      <c r="S16" t="s">
        <v>1008</v>
      </c>
    </row>
    <row r="17" spans="2:54" x14ac:dyDescent="0.3">
      <c r="C17" s="6" t="s">
        <v>1009</v>
      </c>
      <c r="D17" s="403" t="s">
        <v>1005</v>
      </c>
      <c r="E17" s="410">
        <v>13</v>
      </c>
      <c r="F17" s="76">
        <v>15</v>
      </c>
      <c r="G17" s="76">
        <v>18</v>
      </c>
      <c r="H17" s="76">
        <v>21</v>
      </c>
      <c r="I17" s="76">
        <v>27</v>
      </c>
      <c r="J17" s="76">
        <v>33</v>
      </c>
      <c r="K17" s="76">
        <v>40</v>
      </c>
      <c r="L17" s="76">
        <v>43</v>
      </c>
      <c r="M17" s="76">
        <v>47</v>
      </c>
      <c r="N17" s="76">
        <v>51</v>
      </c>
      <c r="O17" s="76">
        <v>55</v>
      </c>
      <c r="P17" s="76">
        <v>59</v>
      </c>
      <c r="Q17" s="411">
        <v>63</v>
      </c>
      <c r="S17" t="s">
        <v>1010</v>
      </c>
    </row>
    <row r="18" spans="2:54" x14ac:dyDescent="0.3">
      <c r="C18" s="6" t="s">
        <v>1011</v>
      </c>
      <c r="D18" s="403" t="s">
        <v>1005</v>
      </c>
      <c r="E18" s="405">
        <v>0.8</v>
      </c>
      <c r="F18" s="77">
        <v>0.8</v>
      </c>
      <c r="G18" s="77">
        <v>0.4</v>
      </c>
      <c r="H18" s="77">
        <v>0.4</v>
      </c>
      <c r="I18" s="77">
        <v>0.4</v>
      </c>
      <c r="J18" s="77">
        <v>0.4</v>
      </c>
      <c r="K18" s="77">
        <v>0</v>
      </c>
      <c r="L18" s="77">
        <v>0</v>
      </c>
      <c r="M18" s="77">
        <v>0</v>
      </c>
      <c r="N18" s="77">
        <v>0</v>
      </c>
      <c r="O18" s="77">
        <v>0</v>
      </c>
      <c r="P18" s="77">
        <v>0</v>
      </c>
      <c r="Q18" s="406">
        <v>0</v>
      </c>
    </row>
    <row r="19" spans="2:54" ht="15" thickBot="1" x14ac:dyDescent="0.35">
      <c r="C19" s="7" t="s">
        <v>88</v>
      </c>
      <c r="D19" s="404" t="s">
        <v>1005</v>
      </c>
      <c r="E19" s="407">
        <v>60.1</v>
      </c>
      <c r="F19" s="408">
        <v>61.8</v>
      </c>
      <c r="G19" s="408">
        <v>61.8</v>
      </c>
      <c r="H19" s="408">
        <v>61.8</v>
      </c>
      <c r="I19" s="408">
        <v>61.8</v>
      </c>
      <c r="J19" s="408">
        <v>61.8</v>
      </c>
      <c r="K19" s="408">
        <v>61.8</v>
      </c>
      <c r="L19" s="408">
        <v>61.8</v>
      </c>
      <c r="M19" s="408">
        <v>61.8</v>
      </c>
      <c r="N19" s="408">
        <v>61.8</v>
      </c>
      <c r="O19" s="408">
        <v>61.8</v>
      </c>
      <c r="P19" s="408">
        <v>61.8</v>
      </c>
      <c r="Q19" s="409">
        <v>61.8</v>
      </c>
    </row>
    <row r="21" spans="2:54" s="306" customFormat="1" ht="21" x14ac:dyDescent="0.4">
      <c r="B21" s="307" t="s">
        <v>978</v>
      </c>
      <c r="C21" s="315"/>
      <c r="D21" s="315"/>
      <c r="E21" s="315"/>
      <c r="F21" s="315"/>
      <c r="G21" s="315"/>
      <c r="H21" s="315"/>
      <c r="I21" s="315"/>
      <c r="J21" s="315"/>
      <c r="K21" s="315"/>
      <c r="L21" s="315"/>
      <c r="M21" s="315"/>
      <c r="N21" s="315"/>
      <c r="O21" s="315"/>
      <c r="P21" s="315"/>
      <c r="Q21" s="315"/>
      <c r="R21" s="312"/>
      <c r="S21" s="312"/>
      <c r="T21" s="312"/>
      <c r="U21" s="312"/>
      <c r="V21" s="312"/>
      <c r="W21" s="312"/>
      <c r="X21" s="313"/>
      <c r="Y21" s="313"/>
      <c r="Z21" s="313"/>
      <c r="AA21" s="313"/>
      <c r="AB21" s="313"/>
      <c r="AC21" s="313"/>
      <c r="AD21" s="313"/>
      <c r="AE21" s="313"/>
      <c r="AF21" s="313"/>
      <c r="AG21" s="314"/>
      <c r="AH21" s="314"/>
      <c r="AI21" s="314"/>
      <c r="AJ21" s="314"/>
      <c r="AK21" s="314"/>
      <c r="AL21" s="314"/>
      <c r="AM21" s="314"/>
      <c r="AN21" s="314"/>
      <c r="AO21" s="314"/>
      <c r="AP21" s="314"/>
      <c r="AQ21" s="314"/>
      <c r="AR21" s="314"/>
      <c r="AS21" s="314"/>
      <c r="AT21" s="314"/>
      <c r="AU21" s="314"/>
      <c r="AV21" s="314"/>
      <c r="AW21" s="314"/>
      <c r="AX21" s="314"/>
      <c r="AY21" s="314"/>
      <c r="AZ21" s="314"/>
      <c r="BA21" s="314"/>
      <c r="BB21" s="314"/>
    </row>
    <row r="22" spans="2:54" ht="15" thickBot="1" x14ac:dyDescent="0.35"/>
    <row r="23" spans="2:54" ht="15" thickBot="1" x14ac:dyDescent="0.35">
      <c r="C23" s="353" t="s">
        <v>747</v>
      </c>
      <c r="D23" s="401" t="s">
        <v>999</v>
      </c>
      <c r="E23" s="353">
        <v>2022</v>
      </c>
      <c r="F23" s="398">
        <v>2023</v>
      </c>
      <c r="G23" s="398">
        <v>2024</v>
      </c>
      <c r="H23" s="398">
        <v>2025</v>
      </c>
      <c r="I23" s="398">
        <v>2026</v>
      </c>
      <c r="J23" s="398">
        <v>2027</v>
      </c>
      <c r="K23" s="398">
        <v>2028</v>
      </c>
      <c r="L23" s="398">
        <v>2029</v>
      </c>
      <c r="M23" s="398">
        <v>2030</v>
      </c>
      <c r="N23" s="398">
        <v>2031</v>
      </c>
      <c r="O23" s="398">
        <v>2032</v>
      </c>
      <c r="P23" s="398">
        <v>2033</v>
      </c>
      <c r="Q23" s="399">
        <v>2034</v>
      </c>
      <c r="S23" t="s">
        <v>1000</v>
      </c>
    </row>
    <row r="24" spans="2:54" x14ac:dyDescent="0.3">
      <c r="C24" s="400" t="s">
        <v>1001</v>
      </c>
      <c r="D24" s="402" t="s">
        <v>1002</v>
      </c>
      <c r="E24" s="412" t="s">
        <v>1012</v>
      </c>
      <c r="F24" s="413">
        <v>559</v>
      </c>
      <c r="G24" s="413">
        <v>574</v>
      </c>
      <c r="H24" s="413">
        <v>589</v>
      </c>
      <c r="I24" s="413">
        <v>604</v>
      </c>
      <c r="J24" s="413">
        <v>619</v>
      </c>
      <c r="K24" s="413">
        <v>634</v>
      </c>
      <c r="L24" s="413">
        <v>649</v>
      </c>
      <c r="M24" s="413">
        <v>685</v>
      </c>
      <c r="N24" s="413">
        <v>722</v>
      </c>
      <c r="O24" s="413">
        <v>758</v>
      </c>
      <c r="P24" s="413">
        <v>794</v>
      </c>
      <c r="Q24" s="414">
        <v>830</v>
      </c>
      <c r="S24" t="s">
        <v>1013</v>
      </c>
      <c r="Z24" s="76"/>
      <c r="AA24" s="76"/>
      <c r="AB24" s="76"/>
      <c r="AC24" s="76"/>
      <c r="AD24" s="76"/>
      <c r="AE24" s="76"/>
      <c r="AF24" s="76"/>
      <c r="AG24" s="76"/>
      <c r="AH24" s="76"/>
      <c r="AI24" s="76"/>
      <c r="AJ24" s="76"/>
      <c r="AK24" s="76"/>
      <c r="AL24" s="76"/>
    </row>
    <row r="25" spans="2:54" x14ac:dyDescent="0.3">
      <c r="C25" s="6" t="s">
        <v>1004</v>
      </c>
      <c r="D25" s="403" t="s">
        <v>1005</v>
      </c>
      <c r="E25" s="410">
        <v>42</v>
      </c>
      <c r="F25" s="76">
        <v>47</v>
      </c>
      <c r="G25" s="76">
        <v>55</v>
      </c>
      <c r="H25" s="76">
        <v>65</v>
      </c>
      <c r="I25" s="76">
        <v>75</v>
      </c>
      <c r="J25" s="76">
        <v>85</v>
      </c>
      <c r="K25" s="76">
        <v>95</v>
      </c>
      <c r="L25" s="76">
        <v>105</v>
      </c>
      <c r="M25" s="76">
        <v>115</v>
      </c>
      <c r="N25" s="76">
        <v>125</v>
      </c>
      <c r="O25" s="76">
        <v>135</v>
      </c>
      <c r="P25" s="76">
        <v>145</v>
      </c>
      <c r="Q25" s="411">
        <v>155</v>
      </c>
      <c r="S25" t="s">
        <v>1014</v>
      </c>
      <c r="Z25" s="76"/>
      <c r="AA25" s="76"/>
      <c r="AB25" s="76"/>
      <c r="AC25" s="76"/>
      <c r="AD25" s="76"/>
      <c r="AE25" s="76"/>
      <c r="AF25" s="76"/>
      <c r="AG25" s="76"/>
      <c r="AH25" s="76"/>
      <c r="AI25" s="76"/>
      <c r="AJ25" s="76"/>
      <c r="AK25" s="76"/>
      <c r="AL25" s="76"/>
    </row>
    <row r="26" spans="2:54" x14ac:dyDescent="0.3">
      <c r="C26" s="6" t="s">
        <v>1007</v>
      </c>
      <c r="D26" s="403" t="s">
        <v>1005</v>
      </c>
      <c r="E26" s="410">
        <v>9</v>
      </c>
      <c r="F26" s="76">
        <v>10</v>
      </c>
      <c r="G26" s="76">
        <v>11</v>
      </c>
      <c r="H26" s="76">
        <v>11</v>
      </c>
      <c r="I26" s="76">
        <v>12</v>
      </c>
      <c r="J26" s="76">
        <v>15</v>
      </c>
      <c r="K26" s="76">
        <v>18</v>
      </c>
      <c r="L26" s="76">
        <v>30</v>
      </c>
      <c r="M26" s="76">
        <v>30</v>
      </c>
      <c r="N26" s="76">
        <v>32</v>
      </c>
      <c r="O26" s="76">
        <v>34</v>
      </c>
      <c r="P26" s="76">
        <v>36</v>
      </c>
      <c r="Q26" s="411">
        <v>38</v>
      </c>
      <c r="S26" t="s">
        <v>1015</v>
      </c>
      <c r="Z26" s="76"/>
      <c r="AA26" s="76"/>
      <c r="AB26" s="76"/>
      <c r="AC26" s="76"/>
      <c r="AD26" s="76"/>
      <c r="AE26" s="76"/>
      <c r="AF26" s="76"/>
      <c r="AG26" s="76"/>
      <c r="AH26" s="76"/>
      <c r="AI26" s="76"/>
      <c r="AJ26" s="76"/>
      <c r="AK26" s="76"/>
      <c r="AL26" s="76"/>
    </row>
    <row r="27" spans="2:54" x14ac:dyDescent="0.3">
      <c r="C27" s="6" t="s">
        <v>1009</v>
      </c>
      <c r="D27" s="403" t="s">
        <v>1005</v>
      </c>
      <c r="E27" s="410">
        <v>66</v>
      </c>
      <c r="F27" s="76">
        <v>75</v>
      </c>
      <c r="G27" s="76">
        <v>88</v>
      </c>
      <c r="H27" s="76">
        <v>105</v>
      </c>
      <c r="I27" s="76">
        <v>127</v>
      </c>
      <c r="J27" s="76">
        <v>149</v>
      </c>
      <c r="K27" s="76">
        <v>171</v>
      </c>
      <c r="L27" s="76">
        <v>193</v>
      </c>
      <c r="M27" s="76">
        <v>215</v>
      </c>
      <c r="N27" s="76">
        <v>237</v>
      </c>
      <c r="O27" s="76">
        <v>259</v>
      </c>
      <c r="P27" s="76">
        <v>281</v>
      </c>
      <c r="Q27" s="411">
        <v>303</v>
      </c>
      <c r="Z27" s="76"/>
      <c r="AA27" s="76"/>
      <c r="AB27" s="76"/>
      <c r="AC27" s="76"/>
      <c r="AD27" s="76"/>
      <c r="AE27" s="76"/>
      <c r="AF27" s="76"/>
      <c r="AG27" s="76"/>
      <c r="AH27" s="76"/>
      <c r="AI27" s="76"/>
      <c r="AJ27" s="76"/>
      <c r="AK27" s="76"/>
      <c r="AL27" s="76"/>
    </row>
    <row r="28" spans="2:54" x14ac:dyDescent="0.3">
      <c r="C28" s="6" t="s">
        <v>1011</v>
      </c>
      <c r="D28" s="403" t="s">
        <v>1005</v>
      </c>
      <c r="E28" s="405">
        <v>26.6</v>
      </c>
      <c r="F28" s="77">
        <v>25.9</v>
      </c>
      <c r="G28" s="77">
        <v>22.6</v>
      </c>
      <c r="H28" s="77">
        <v>18.2</v>
      </c>
      <c r="I28" s="77">
        <v>16.600000000000001</v>
      </c>
      <c r="J28" s="77">
        <v>13.7</v>
      </c>
      <c r="K28" s="77">
        <v>9.6999999999999993</v>
      </c>
      <c r="L28" s="77">
        <v>0</v>
      </c>
      <c r="M28" s="77">
        <v>0</v>
      </c>
      <c r="N28" s="77">
        <v>0</v>
      </c>
      <c r="O28" s="77">
        <v>0</v>
      </c>
      <c r="P28" s="77">
        <v>0</v>
      </c>
      <c r="Q28" s="406">
        <v>0</v>
      </c>
      <c r="Z28" s="76"/>
      <c r="AA28" s="76"/>
      <c r="AB28" s="76"/>
      <c r="AC28" s="76"/>
      <c r="AD28" s="76"/>
      <c r="AE28" s="76"/>
      <c r="AF28" s="76"/>
      <c r="AG28" s="76"/>
      <c r="AH28" s="76"/>
      <c r="AI28" s="76"/>
      <c r="AJ28" s="76"/>
      <c r="AK28" s="76"/>
      <c r="AL28" s="76"/>
    </row>
    <row r="29" spans="2:54" ht="15" thickBot="1" x14ac:dyDescent="0.35">
      <c r="C29" s="7" t="s">
        <v>88</v>
      </c>
      <c r="D29" s="404" t="s">
        <v>1005</v>
      </c>
      <c r="E29" s="407">
        <v>0</v>
      </c>
      <c r="F29" s="408">
        <v>0</v>
      </c>
      <c r="G29" s="408">
        <v>0</v>
      </c>
      <c r="H29" s="408">
        <v>0</v>
      </c>
      <c r="I29" s="408">
        <v>0</v>
      </c>
      <c r="J29" s="408">
        <v>0</v>
      </c>
      <c r="K29" s="408">
        <v>0</v>
      </c>
      <c r="L29" s="408">
        <v>0</v>
      </c>
      <c r="M29" s="408">
        <v>0</v>
      </c>
      <c r="N29" s="408">
        <v>0</v>
      </c>
      <c r="O29" s="408">
        <v>0</v>
      </c>
      <c r="P29" s="408">
        <v>0</v>
      </c>
      <c r="Q29" s="409">
        <v>0</v>
      </c>
      <c r="Z29" s="76"/>
      <c r="AA29" s="76"/>
      <c r="AB29" s="76"/>
      <c r="AC29" s="76"/>
      <c r="AD29" s="76"/>
      <c r="AE29" s="76"/>
      <c r="AF29" s="76"/>
      <c r="AG29" s="76"/>
      <c r="AH29" s="76"/>
      <c r="AI29" s="76"/>
      <c r="AJ29" s="76"/>
      <c r="AK29" s="76"/>
      <c r="AL29" s="76"/>
    </row>
    <row r="31" spans="2:54" s="306" customFormat="1" ht="21" x14ac:dyDescent="0.4">
      <c r="B31" s="307" t="s">
        <v>976</v>
      </c>
      <c r="C31" s="315"/>
      <c r="D31" s="315"/>
      <c r="E31" s="315"/>
      <c r="F31" s="315"/>
      <c r="G31" s="315"/>
      <c r="H31" s="315"/>
      <c r="I31" s="315"/>
      <c r="J31" s="315"/>
      <c r="K31" s="315"/>
      <c r="L31" s="315"/>
      <c r="M31" s="315"/>
      <c r="N31" s="315"/>
      <c r="O31" s="315"/>
      <c r="P31" s="315"/>
      <c r="Q31" s="315"/>
      <c r="R31" s="312"/>
      <c r="S31" s="312"/>
      <c r="T31" s="312"/>
      <c r="U31" s="312"/>
      <c r="V31" s="312"/>
      <c r="W31" s="312"/>
      <c r="X31" s="313"/>
      <c r="Y31" s="313"/>
      <c r="Z31" s="313"/>
      <c r="AA31" s="313"/>
      <c r="AB31" s="313"/>
      <c r="AC31" s="313"/>
      <c r="AD31" s="313"/>
      <c r="AE31" s="313"/>
      <c r="AF31" s="313"/>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row>
    <row r="32" spans="2:54" ht="15" thickBot="1" x14ac:dyDescent="0.35"/>
    <row r="33" spans="2:54" ht="15" thickBot="1" x14ac:dyDescent="0.35">
      <c r="C33" s="353" t="s">
        <v>747</v>
      </c>
      <c r="D33" s="401" t="s">
        <v>999</v>
      </c>
      <c r="E33" s="353">
        <v>2022</v>
      </c>
      <c r="F33" s="398">
        <v>2023</v>
      </c>
      <c r="G33" s="398">
        <v>2024</v>
      </c>
      <c r="H33" s="398">
        <v>2025</v>
      </c>
      <c r="I33" s="398">
        <v>2026</v>
      </c>
      <c r="J33" s="398">
        <v>2027</v>
      </c>
      <c r="K33" s="398">
        <v>2028</v>
      </c>
      <c r="L33" s="398">
        <v>2029</v>
      </c>
      <c r="M33" s="398">
        <v>2030</v>
      </c>
      <c r="N33" s="398">
        <v>2031</v>
      </c>
      <c r="O33" s="398">
        <v>2032</v>
      </c>
      <c r="P33" s="398">
        <v>2033</v>
      </c>
      <c r="Q33" s="399">
        <v>2034</v>
      </c>
      <c r="S33" t="s">
        <v>1000</v>
      </c>
    </row>
    <row r="34" spans="2:54" x14ac:dyDescent="0.3">
      <c r="C34" s="400" t="s">
        <v>1001</v>
      </c>
      <c r="D34" s="402" t="s">
        <v>1002</v>
      </c>
      <c r="E34" s="412" t="s">
        <v>1012</v>
      </c>
      <c r="F34" s="413">
        <v>123</v>
      </c>
      <c r="G34" s="413">
        <v>124</v>
      </c>
      <c r="H34" s="413">
        <v>130</v>
      </c>
      <c r="I34" s="413">
        <v>135</v>
      </c>
      <c r="J34" s="413">
        <v>141</v>
      </c>
      <c r="K34" s="413">
        <v>148</v>
      </c>
      <c r="L34" s="413">
        <v>154</v>
      </c>
      <c r="M34" s="413">
        <v>158</v>
      </c>
      <c r="N34" s="413">
        <v>163</v>
      </c>
      <c r="O34" s="413">
        <v>167</v>
      </c>
      <c r="P34" s="413">
        <v>171</v>
      </c>
      <c r="Q34" s="414">
        <v>176</v>
      </c>
      <c r="S34" t="s">
        <v>1013</v>
      </c>
      <c r="Z34" s="76"/>
      <c r="AA34" s="76"/>
      <c r="AB34" s="76"/>
      <c r="AC34" s="76"/>
      <c r="AD34" s="76"/>
      <c r="AE34" s="76"/>
      <c r="AF34" s="76"/>
      <c r="AG34" s="76"/>
      <c r="AH34" s="76"/>
      <c r="AI34" s="76"/>
      <c r="AJ34" s="76"/>
      <c r="AK34" s="76"/>
      <c r="AL34" s="76"/>
    </row>
    <row r="35" spans="2:54" x14ac:dyDescent="0.3">
      <c r="C35" s="6" t="s">
        <v>1004</v>
      </c>
      <c r="D35" s="403" t="s">
        <v>1005</v>
      </c>
      <c r="E35" s="410">
        <v>8</v>
      </c>
      <c r="F35" s="76">
        <v>9</v>
      </c>
      <c r="G35" s="76">
        <v>9</v>
      </c>
      <c r="H35" s="76">
        <v>10</v>
      </c>
      <c r="I35" s="76">
        <v>10</v>
      </c>
      <c r="J35" s="76">
        <v>11</v>
      </c>
      <c r="K35" s="76">
        <v>11</v>
      </c>
      <c r="L35" s="76">
        <v>12</v>
      </c>
      <c r="M35" s="76">
        <v>12</v>
      </c>
      <c r="N35" s="76">
        <v>12</v>
      </c>
      <c r="O35" s="76">
        <v>13</v>
      </c>
      <c r="P35" s="76">
        <v>13</v>
      </c>
      <c r="Q35" s="411">
        <v>14</v>
      </c>
      <c r="S35" t="s">
        <v>1016</v>
      </c>
      <c r="Z35" s="76"/>
      <c r="AA35" s="76"/>
      <c r="AB35" s="76"/>
      <c r="AC35" s="76"/>
      <c r="AD35" s="76"/>
      <c r="AE35" s="76"/>
      <c r="AF35" s="76"/>
      <c r="AG35" s="76"/>
      <c r="AH35" s="76"/>
      <c r="AI35" s="76"/>
      <c r="AJ35" s="76"/>
      <c r="AK35" s="76"/>
      <c r="AL35" s="76"/>
    </row>
    <row r="36" spans="2:54" x14ac:dyDescent="0.3">
      <c r="C36" s="6" t="s">
        <v>1007</v>
      </c>
      <c r="D36" s="403" t="s">
        <v>1005</v>
      </c>
      <c r="E36" s="410">
        <v>6</v>
      </c>
      <c r="F36" s="76">
        <v>6</v>
      </c>
      <c r="G36" s="76">
        <v>6</v>
      </c>
      <c r="H36" s="76">
        <v>8</v>
      </c>
      <c r="I36" s="76">
        <v>8</v>
      </c>
      <c r="J36" s="76">
        <v>10</v>
      </c>
      <c r="K36" s="76">
        <v>14</v>
      </c>
      <c r="L36" s="76">
        <v>18</v>
      </c>
      <c r="M36" s="76">
        <v>22</v>
      </c>
      <c r="N36" s="76">
        <v>24</v>
      </c>
      <c r="O36" s="76">
        <v>25</v>
      </c>
      <c r="P36" s="76">
        <v>26</v>
      </c>
      <c r="Q36" s="411">
        <v>27</v>
      </c>
      <c r="S36" t="s">
        <v>1017</v>
      </c>
      <c r="Z36" s="76"/>
      <c r="AA36" s="76"/>
      <c r="AB36" s="76"/>
      <c r="AC36" s="76"/>
      <c r="AD36" s="76"/>
      <c r="AE36" s="76"/>
      <c r="AF36" s="76"/>
      <c r="AG36" s="76"/>
      <c r="AH36" s="76"/>
      <c r="AI36" s="76"/>
      <c r="AJ36" s="76"/>
      <c r="AK36" s="76"/>
      <c r="AL36" s="76"/>
    </row>
    <row r="37" spans="2:54" x14ac:dyDescent="0.3">
      <c r="C37" s="6" t="s">
        <v>1009</v>
      </c>
      <c r="D37" s="403" t="s">
        <v>1005</v>
      </c>
      <c r="E37" s="410">
        <v>21</v>
      </c>
      <c r="F37" s="76">
        <v>26</v>
      </c>
      <c r="G37" s="76">
        <v>31</v>
      </c>
      <c r="H37" s="76">
        <v>34</v>
      </c>
      <c r="I37" s="76">
        <v>37</v>
      </c>
      <c r="J37" s="76">
        <v>40</v>
      </c>
      <c r="K37" s="76">
        <v>43</v>
      </c>
      <c r="L37" s="76">
        <v>46</v>
      </c>
      <c r="M37" s="76">
        <v>49</v>
      </c>
      <c r="N37" s="76">
        <v>52</v>
      </c>
      <c r="O37" s="76">
        <v>55</v>
      </c>
      <c r="P37" s="76">
        <v>58</v>
      </c>
      <c r="Q37" s="411">
        <v>61</v>
      </c>
      <c r="S37" t="s">
        <v>1018</v>
      </c>
      <c r="Z37" s="76"/>
      <c r="AA37" s="76"/>
      <c r="AB37" s="76"/>
      <c r="AC37" s="76"/>
      <c r="AD37" s="76"/>
      <c r="AE37" s="76"/>
      <c r="AF37" s="76"/>
      <c r="AG37" s="76"/>
      <c r="AH37" s="76"/>
      <c r="AI37" s="76"/>
      <c r="AJ37" s="76"/>
      <c r="AK37" s="76"/>
      <c r="AL37" s="76"/>
    </row>
    <row r="38" spans="2:54" x14ac:dyDescent="0.3">
      <c r="C38" s="6" t="s">
        <v>1011</v>
      </c>
      <c r="D38" s="403" t="s">
        <v>1005</v>
      </c>
      <c r="E38" s="405"/>
      <c r="F38" s="77"/>
      <c r="G38" s="77"/>
      <c r="H38" s="77"/>
      <c r="I38" s="77"/>
      <c r="J38" s="77"/>
      <c r="K38" s="77"/>
      <c r="L38" s="77"/>
      <c r="M38" s="77"/>
      <c r="N38" s="77"/>
      <c r="O38" s="77"/>
      <c r="P38" s="77"/>
      <c r="Q38" s="406"/>
      <c r="S38" t="s">
        <v>1019</v>
      </c>
      <c r="Z38" s="76"/>
      <c r="AA38" s="76"/>
      <c r="AB38" s="76"/>
      <c r="AC38" s="76"/>
      <c r="AD38" s="76"/>
      <c r="AE38" s="76"/>
      <c r="AF38" s="76"/>
      <c r="AG38" s="76"/>
      <c r="AH38" s="76"/>
      <c r="AI38" s="76"/>
      <c r="AJ38" s="76"/>
      <c r="AK38" s="76"/>
      <c r="AL38" s="76"/>
    </row>
    <row r="39" spans="2:54" ht="15" thickBot="1" x14ac:dyDescent="0.35">
      <c r="C39" s="7" t="s">
        <v>88</v>
      </c>
      <c r="D39" s="404" t="s">
        <v>1005</v>
      </c>
      <c r="E39" s="407"/>
      <c r="F39" s="408"/>
      <c r="G39" s="408"/>
      <c r="H39" s="408"/>
      <c r="I39" s="408"/>
      <c r="J39" s="408"/>
      <c r="K39" s="408"/>
      <c r="L39" s="408"/>
      <c r="M39" s="408"/>
      <c r="N39" s="408"/>
      <c r="O39" s="408"/>
      <c r="P39" s="408"/>
      <c r="Q39" s="409"/>
      <c r="Z39" s="76"/>
      <c r="AA39" s="76"/>
      <c r="AB39" s="76"/>
      <c r="AC39" s="76"/>
      <c r="AD39" s="76"/>
      <c r="AE39" s="76"/>
      <c r="AF39" s="76"/>
      <c r="AG39" s="76"/>
      <c r="AH39" s="76"/>
      <c r="AI39" s="76"/>
      <c r="AJ39" s="76"/>
      <c r="AK39" s="76"/>
      <c r="AL39" s="76"/>
    </row>
    <row r="41" spans="2:54" s="306" customFormat="1" ht="21" x14ac:dyDescent="0.4">
      <c r="B41" s="307" t="s">
        <v>1020</v>
      </c>
      <c r="C41" s="315"/>
      <c r="D41" s="315"/>
      <c r="E41" s="315"/>
      <c r="F41" s="315"/>
      <c r="G41" s="315"/>
      <c r="H41" s="315"/>
      <c r="I41" s="315"/>
      <c r="J41" s="315"/>
      <c r="K41" s="315"/>
      <c r="L41" s="315"/>
      <c r="M41" s="315"/>
      <c r="N41" s="315"/>
      <c r="O41" s="315"/>
      <c r="P41" s="315"/>
      <c r="Q41" s="315"/>
      <c r="R41" s="312"/>
      <c r="S41" s="312"/>
      <c r="T41" s="312"/>
      <c r="U41" s="312"/>
      <c r="V41" s="312"/>
      <c r="W41" s="312"/>
      <c r="X41" s="313"/>
      <c r="Y41" s="313"/>
      <c r="Z41" s="313"/>
      <c r="AA41" s="313"/>
      <c r="AB41" s="313"/>
      <c r="AC41" s="313"/>
      <c r="AD41" s="313"/>
      <c r="AE41" s="313"/>
      <c r="AF41" s="313"/>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row>
    <row r="42" spans="2:54" ht="15" thickBot="1" x14ac:dyDescent="0.35"/>
    <row r="43" spans="2:54" ht="15" thickBot="1" x14ac:dyDescent="0.35">
      <c r="C43" s="353" t="s">
        <v>747</v>
      </c>
      <c r="D43" s="401" t="s">
        <v>999</v>
      </c>
      <c r="E43" s="353">
        <v>2022</v>
      </c>
      <c r="F43" s="398">
        <v>2023</v>
      </c>
      <c r="G43" s="398">
        <v>2024</v>
      </c>
      <c r="H43" s="398">
        <v>2025</v>
      </c>
      <c r="I43" s="398">
        <v>2026</v>
      </c>
      <c r="J43" s="398">
        <v>2027</v>
      </c>
      <c r="K43" s="398">
        <v>2028</v>
      </c>
      <c r="L43" s="398">
        <v>2029</v>
      </c>
      <c r="M43" s="398">
        <v>2030</v>
      </c>
      <c r="N43" s="398">
        <v>2031</v>
      </c>
      <c r="O43" s="398">
        <v>2032</v>
      </c>
      <c r="P43" s="398">
        <v>2033</v>
      </c>
      <c r="Q43" s="399">
        <v>2034</v>
      </c>
      <c r="S43" t="s">
        <v>1000</v>
      </c>
    </row>
    <row r="44" spans="2:54" x14ac:dyDescent="0.3">
      <c r="C44" s="400" t="s">
        <v>1001</v>
      </c>
      <c r="D44" s="402" t="s">
        <v>1002</v>
      </c>
      <c r="E44" s="412"/>
      <c r="F44" s="413">
        <v>289</v>
      </c>
      <c r="G44" s="413">
        <v>291</v>
      </c>
      <c r="H44" s="413">
        <v>296</v>
      </c>
      <c r="I44" s="413">
        <v>301</v>
      </c>
      <c r="J44" s="413">
        <v>312</v>
      </c>
      <c r="K44" s="413">
        <v>322</v>
      </c>
      <c r="L44" s="413">
        <v>333</v>
      </c>
      <c r="M44" s="413">
        <v>345.67</v>
      </c>
      <c r="N44" s="413">
        <v>358.33</v>
      </c>
      <c r="O44" s="413">
        <v>371</v>
      </c>
      <c r="P44" s="413">
        <v>383.67</v>
      </c>
      <c r="Q44" s="414">
        <v>396.33</v>
      </c>
      <c r="S44" t="s">
        <v>1013</v>
      </c>
      <c r="Z44" s="76"/>
      <c r="AA44" s="76"/>
      <c r="AB44" s="76"/>
      <c r="AC44" s="76"/>
      <c r="AD44" s="76"/>
      <c r="AE44" s="76"/>
      <c r="AF44" s="76"/>
      <c r="AG44" s="76"/>
      <c r="AH44" s="76"/>
      <c r="AI44" s="76"/>
      <c r="AJ44" s="76"/>
      <c r="AK44" s="76"/>
      <c r="AL44" s="76"/>
    </row>
    <row r="45" spans="2:54" x14ac:dyDescent="0.3">
      <c r="C45" s="6" t="s">
        <v>1004</v>
      </c>
      <c r="D45" s="403" t="s">
        <v>1005</v>
      </c>
      <c r="E45" s="410">
        <v>14</v>
      </c>
      <c r="F45" s="76">
        <v>14.8</v>
      </c>
      <c r="G45" s="76">
        <v>17.3</v>
      </c>
      <c r="H45" s="76">
        <v>19.399999999999999</v>
      </c>
      <c r="I45" s="76">
        <v>21.5</v>
      </c>
      <c r="J45" s="76">
        <v>23.2</v>
      </c>
      <c r="K45" s="76">
        <v>24.9</v>
      </c>
      <c r="L45" s="76">
        <v>26.2</v>
      </c>
      <c r="M45" s="76">
        <v>27.4</v>
      </c>
      <c r="N45" s="76">
        <v>28.6</v>
      </c>
      <c r="O45" s="76">
        <v>29.6</v>
      </c>
      <c r="P45" s="76">
        <v>30.4</v>
      </c>
      <c r="Q45" s="411">
        <v>31.4</v>
      </c>
      <c r="S45" t="s">
        <v>1021</v>
      </c>
      <c r="Z45" s="76"/>
      <c r="AA45" s="76"/>
      <c r="AB45" s="76"/>
      <c r="AC45" s="76"/>
      <c r="AD45" s="76"/>
      <c r="AE45" s="76"/>
      <c r="AF45" s="76"/>
      <c r="AG45" s="76"/>
      <c r="AH45" s="76"/>
      <c r="AI45" s="76"/>
      <c r="AJ45" s="76"/>
      <c r="AK45" s="76"/>
      <c r="AL45" s="76"/>
    </row>
    <row r="46" spans="2:54" x14ac:dyDescent="0.3">
      <c r="C46" s="6" t="s">
        <v>1007</v>
      </c>
      <c r="D46" s="403" t="s">
        <v>1005</v>
      </c>
      <c r="E46" s="410">
        <v>15</v>
      </c>
      <c r="F46" s="76">
        <v>16.8</v>
      </c>
      <c r="G46" s="76">
        <v>21.9</v>
      </c>
      <c r="H46" s="76">
        <v>23.1</v>
      </c>
      <c r="I46" s="76">
        <v>24.9</v>
      </c>
      <c r="J46" s="76">
        <v>27.8</v>
      </c>
      <c r="K46" s="76">
        <v>31.3</v>
      </c>
      <c r="L46" s="76">
        <v>42.7</v>
      </c>
      <c r="M46" s="76">
        <v>44.5</v>
      </c>
      <c r="N46" s="76">
        <v>52</v>
      </c>
      <c r="O46" s="76">
        <v>57.4</v>
      </c>
      <c r="P46" s="76">
        <v>60.4</v>
      </c>
      <c r="Q46" s="411">
        <v>70.900000000000006</v>
      </c>
      <c r="S46" t="s">
        <v>1022</v>
      </c>
      <c r="Z46" s="76"/>
      <c r="AA46" s="76"/>
      <c r="AB46" s="76"/>
      <c r="AC46" s="76"/>
      <c r="AD46" s="76"/>
      <c r="AE46" s="76"/>
      <c r="AF46" s="76"/>
      <c r="AG46" s="76"/>
      <c r="AH46" s="76"/>
      <c r="AI46" s="76"/>
      <c r="AJ46" s="76"/>
      <c r="AK46" s="76"/>
      <c r="AL46" s="76"/>
    </row>
    <row r="47" spans="2:54" x14ac:dyDescent="0.3">
      <c r="C47" s="6" t="s">
        <v>1009</v>
      </c>
      <c r="D47" s="403" t="s">
        <v>1005</v>
      </c>
      <c r="E47" s="410">
        <v>15.3</v>
      </c>
      <c r="F47" s="76">
        <v>17</v>
      </c>
      <c r="G47" s="76">
        <v>19.100000000000001</v>
      </c>
      <c r="H47" s="76">
        <v>21.1</v>
      </c>
      <c r="I47" s="76">
        <v>23.4</v>
      </c>
      <c r="J47" s="76">
        <v>25.5</v>
      </c>
      <c r="K47" s="76">
        <v>27.9</v>
      </c>
      <c r="L47" s="76">
        <v>30.8</v>
      </c>
      <c r="M47" s="76">
        <v>33.799999999999997</v>
      </c>
      <c r="N47" s="76">
        <v>36.9</v>
      </c>
      <c r="O47" s="76">
        <v>40</v>
      </c>
      <c r="P47" s="76">
        <v>43</v>
      </c>
      <c r="Q47" s="411">
        <v>47.5</v>
      </c>
      <c r="Z47" s="76"/>
      <c r="AA47" s="76"/>
      <c r="AB47" s="76"/>
      <c r="AC47" s="76"/>
      <c r="AD47" s="76"/>
      <c r="AE47" s="76"/>
      <c r="AF47" s="76"/>
      <c r="AG47" s="76"/>
      <c r="AH47" s="76"/>
      <c r="AI47" s="76"/>
      <c r="AJ47" s="76"/>
      <c r="AK47" s="76"/>
      <c r="AL47" s="76"/>
    </row>
    <row r="48" spans="2:54" x14ac:dyDescent="0.3">
      <c r="C48" s="6" t="s">
        <v>1011</v>
      </c>
      <c r="D48" s="403" t="s">
        <v>1005</v>
      </c>
      <c r="E48" s="405"/>
      <c r="F48" s="77"/>
      <c r="G48" s="77"/>
      <c r="H48" s="77"/>
      <c r="I48" s="77"/>
      <c r="J48" s="77"/>
      <c r="K48" s="77"/>
      <c r="L48" s="77"/>
      <c r="M48" s="77"/>
      <c r="N48" s="77"/>
      <c r="O48" s="77"/>
      <c r="P48" s="77"/>
      <c r="Q48" s="406"/>
      <c r="Z48" s="76"/>
      <c r="AA48" s="76"/>
      <c r="AB48" s="76"/>
      <c r="AC48" s="76"/>
      <c r="AD48" s="76"/>
      <c r="AE48" s="76"/>
      <c r="AF48" s="76"/>
      <c r="AG48" s="76"/>
      <c r="AH48" s="76"/>
      <c r="AI48" s="76"/>
      <c r="AJ48" s="76"/>
      <c r="AK48" s="76"/>
      <c r="AL48" s="76"/>
    </row>
    <row r="49" spans="2:54" ht="15" thickBot="1" x14ac:dyDescent="0.35">
      <c r="C49" s="7" t="s">
        <v>88</v>
      </c>
      <c r="D49" s="404" t="s">
        <v>1005</v>
      </c>
      <c r="E49" s="407">
        <v>6</v>
      </c>
      <c r="F49" s="408">
        <v>6</v>
      </c>
      <c r="G49" s="408">
        <v>3.6</v>
      </c>
      <c r="H49" s="408">
        <v>3.6</v>
      </c>
      <c r="I49" s="408">
        <v>3.6</v>
      </c>
      <c r="J49" s="408">
        <v>6.8</v>
      </c>
      <c r="K49" s="408">
        <v>4.4000000000000004</v>
      </c>
      <c r="L49" s="408">
        <v>4.4000000000000004</v>
      </c>
      <c r="M49" s="408">
        <v>4.4000000000000004</v>
      </c>
      <c r="N49" s="408">
        <v>4.4000000000000004</v>
      </c>
      <c r="O49" s="408">
        <v>4.4000000000000004</v>
      </c>
      <c r="P49" s="408">
        <v>7.6</v>
      </c>
      <c r="Q49" s="409">
        <v>7.6</v>
      </c>
      <c r="Z49" s="76"/>
      <c r="AA49" s="76"/>
      <c r="AB49" s="76"/>
      <c r="AC49" s="76"/>
      <c r="AD49" s="76"/>
      <c r="AE49" s="76"/>
      <c r="AF49" s="76"/>
      <c r="AG49" s="76"/>
      <c r="AH49" s="76"/>
      <c r="AI49" s="76"/>
      <c r="AJ49" s="76"/>
      <c r="AK49" s="76"/>
      <c r="AL49" s="76"/>
    </row>
    <row r="51" spans="2:54" s="306" customFormat="1" ht="21" x14ac:dyDescent="0.4">
      <c r="B51" s="307" t="s">
        <v>1023</v>
      </c>
      <c r="C51" s="315"/>
      <c r="D51" s="315"/>
      <c r="E51" s="315"/>
      <c r="F51" s="315"/>
      <c r="G51" s="315"/>
      <c r="H51" s="315"/>
      <c r="I51" s="315"/>
      <c r="J51" s="315"/>
      <c r="K51" s="315"/>
      <c r="L51" s="315"/>
      <c r="M51" s="315"/>
      <c r="N51" s="315"/>
      <c r="O51" s="315"/>
      <c r="P51" s="315"/>
      <c r="Q51" s="315"/>
      <c r="R51" s="312"/>
      <c r="S51" s="312"/>
      <c r="T51" s="312"/>
      <c r="U51" s="312"/>
      <c r="V51" s="312"/>
      <c r="W51" s="312"/>
      <c r="X51" s="313"/>
      <c r="Y51" s="313"/>
      <c r="Z51" s="313"/>
      <c r="AA51" s="313"/>
      <c r="AB51" s="313"/>
      <c r="AC51" s="313"/>
      <c r="AD51" s="313"/>
      <c r="AE51" s="313"/>
      <c r="AF51" s="313"/>
      <c r="AG51" s="314"/>
      <c r="AH51" s="314"/>
      <c r="AI51" s="314"/>
      <c r="AJ51" s="314"/>
      <c r="AK51" s="314"/>
      <c r="AL51" s="314"/>
      <c r="AM51" s="314"/>
      <c r="AN51" s="314"/>
      <c r="AO51" s="314"/>
      <c r="AP51" s="314"/>
      <c r="AQ51" s="314"/>
      <c r="AR51" s="314"/>
      <c r="AS51" s="314"/>
      <c r="AT51" s="314"/>
      <c r="AU51" s="314"/>
      <c r="AV51" s="314"/>
      <c r="AW51" s="314"/>
      <c r="AX51" s="314"/>
      <c r="AY51" s="314"/>
      <c r="AZ51" s="314"/>
      <c r="BA51" s="314"/>
      <c r="BB51" s="314"/>
    </row>
    <row r="52" spans="2:54" ht="15" thickBot="1" x14ac:dyDescent="0.35"/>
    <row r="53" spans="2:54" ht="15" thickBot="1" x14ac:dyDescent="0.35">
      <c r="C53" s="353" t="s">
        <v>747</v>
      </c>
      <c r="D53" s="401" t="s">
        <v>999</v>
      </c>
      <c r="E53" s="353">
        <v>2022</v>
      </c>
      <c r="F53" s="398">
        <v>2023</v>
      </c>
      <c r="G53" s="398">
        <v>2024</v>
      </c>
      <c r="H53" s="398">
        <v>2025</v>
      </c>
      <c r="I53" s="398">
        <v>2026</v>
      </c>
      <c r="J53" s="398">
        <v>2027</v>
      </c>
      <c r="K53" s="398">
        <v>2028</v>
      </c>
      <c r="L53" s="398">
        <v>2029</v>
      </c>
      <c r="M53" s="398">
        <v>2030</v>
      </c>
      <c r="N53" s="398">
        <v>2031</v>
      </c>
      <c r="O53" s="398">
        <v>2032</v>
      </c>
      <c r="P53" s="398">
        <v>2033</v>
      </c>
      <c r="Q53" s="399">
        <v>2034</v>
      </c>
      <c r="S53" t="s">
        <v>1000</v>
      </c>
    </row>
    <row r="54" spans="2:54" x14ac:dyDescent="0.3">
      <c r="C54" s="400" t="s">
        <v>1001</v>
      </c>
      <c r="D54" s="402" t="s">
        <v>1002</v>
      </c>
      <c r="E54" s="412" t="s">
        <v>1012</v>
      </c>
      <c r="F54" s="413">
        <v>255</v>
      </c>
      <c r="G54" s="413">
        <v>259</v>
      </c>
      <c r="H54" s="413">
        <v>260</v>
      </c>
      <c r="I54" s="413">
        <v>260</v>
      </c>
      <c r="J54" s="413">
        <v>261</v>
      </c>
      <c r="K54" s="413">
        <v>262</v>
      </c>
      <c r="L54" s="413">
        <v>263</v>
      </c>
      <c r="M54" s="413">
        <v>267</v>
      </c>
      <c r="N54" s="413">
        <v>272</v>
      </c>
      <c r="O54" s="413">
        <v>277</v>
      </c>
      <c r="P54" s="413">
        <v>281</v>
      </c>
      <c r="Q54" s="414">
        <v>286</v>
      </c>
      <c r="S54" t="s">
        <v>1024</v>
      </c>
      <c r="Z54" s="76"/>
      <c r="AA54" s="76"/>
      <c r="AB54" s="76"/>
      <c r="AC54" s="76"/>
      <c r="AD54" s="76"/>
      <c r="AE54" s="76"/>
      <c r="AF54" s="76"/>
      <c r="AG54" s="76"/>
      <c r="AH54" s="76"/>
      <c r="AI54" s="76"/>
      <c r="AJ54" s="76"/>
      <c r="AK54" s="76"/>
      <c r="AL54" s="76"/>
    </row>
    <row r="55" spans="2:54" x14ac:dyDescent="0.3">
      <c r="C55" s="6" t="s">
        <v>1004</v>
      </c>
      <c r="D55" s="403" t="s">
        <v>1005</v>
      </c>
      <c r="E55" s="410">
        <v>30</v>
      </c>
      <c r="F55" s="76">
        <v>31</v>
      </c>
      <c r="G55" s="76">
        <v>34</v>
      </c>
      <c r="H55" s="76">
        <v>37</v>
      </c>
      <c r="I55" s="76">
        <v>40</v>
      </c>
      <c r="J55" s="76">
        <v>43</v>
      </c>
      <c r="K55" s="76">
        <v>45</v>
      </c>
      <c r="L55" s="76">
        <v>48</v>
      </c>
      <c r="M55" s="76">
        <v>50</v>
      </c>
      <c r="N55" s="76">
        <v>51</v>
      </c>
      <c r="O55" s="76">
        <v>53</v>
      </c>
      <c r="P55" s="76">
        <v>54</v>
      </c>
      <c r="Q55" s="411">
        <v>56</v>
      </c>
      <c r="S55" t="s">
        <v>1025</v>
      </c>
      <c r="Z55" s="76"/>
      <c r="AA55" s="76"/>
      <c r="AB55" s="76"/>
      <c r="AC55" s="76"/>
      <c r="AD55" s="76"/>
      <c r="AE55" s="76"/>
      <c r="AF55" s="76"/>
      <c r="AG55" s="76"/>
      <c r="AH55" s="76"/>
      <c r="AI55" s="76"/>
      <c r="AJ55" s="76"/>
      <c r="AK55" s="76"/>
      <c r="AL55" s="76"/>
    </row>
    <row r="56" spans="2:54" x14ac:dyDescent="0.3">
      <c r="C56" s="6" t="s">
        <v>1007</v>
      </c>
      <c r="D56" s="403" t="s">
        <v>1005</v>
      </c>
      <c r="E56" s="410">
        <v>0</v>
      </c>
      <c r="F56" s="76">
        <v>0</v>
      </c>
      <c r="G56" s="76">
        <v>0</v>
      </c>
      <c r="H56" s="76">
        <v>0</v>
      </c>
      <c r="I56" s="76">
        <v>0</v>
      </c>
      <c r="J56" s="76">
        <v>0</v>
      </c>
      <c r="K56" s="76">
        <v>0</v>
      </c>
      <c r="L56" s="76">
        <v>2</v>
      </c>
      <c r="M56" s="76">
        <v>2</v>
      </c>
      <c r="N56" s="76">
        <v>2</v>
      </c>
      <c r="O56" s="76">
        <v>3</v>
      </c>
      <c r="P56" s="76">
        <v>3</v>
      </c>
      <c r="Q56" s="411">
        <v>3</v>
      </c>
      <c r="T56" t="s">
        <v>1026</v>
      </c>
      <c r="Z56" s="76"/>
      <c r="AA56" s="76"/>
      <c r="AB56" s="76"/>
      <c r="AC56" s="76"/>
      <c r="AD56" s="76"/>
      <c r="AE56" s="76"/>
      <c r="AF56" s="76"/>
      <c r="AG56" s="76"/>
      <c r="AH56" s="76"/>
      <c r="AI56" s="76"/>
      <c r="AJ56" s="76"/>
      <c r="AK56" s="76"/>
      <c r="AL56" s="76"/>
    </row>
    <row r="57" spans="2:54" x14ac:dyDescent="0.3">
      <c r="C57" s="6" t="s">
        <v>1009</v>
      </c>
      <c r="D57" s="403" t="s">
        <v>1005</v>
      </c>
      <c r="E57" s="410">
        <v>18</v>
      </c>
      <c r="F57" s="76">
        <v>23</v>
      </c>
      <c r="G57" s="76">
        <v>29</v>
      </c>
      <c r="H57" s="76">
        <v>34</v>
      </c>
      <c r="I57" s="76">
        <v>39</v>
      </c>
      <c r="J57" s="76">
        <v>44</v>
      </c>
      <c r="K57" s="76">
        <v>50</v>
      </c>
      <c r="L57" s="76">
        <v>55</v>
      </c>
      <c r="M57" s="76">
        <v>60</v>
      </c>
      <c r="N57" s="76">
        <v>65</v>
      </c>
      <c r="O57" s="76">
        <v>71</v>
      </c>
      <c r="P57" s="76">
        <v>76</v>
      </c>
      <c r="Q57" s="411">
        <v>81</v>
      </c>
      <c r="T57" t="s">
        <v>1027</v>
      </c>
      <c r="Z57" s="76"/>
      <c r="AA57" s="76"/>
      <c r="AB57" s="76"/>
      <c r="AC57" s="76"/>
      <c r="AD57" s="76"/>
      <c r="AE57" s="76"/>
      <c r="AF57" s="76"/>
      <c r="AG57" s="76"/>
      <c r="AH57" s="76"/>
      <c r="AI57" s="76"/>
      <c r="AJ57" s="76"/>
      <c r="AK57" s="76"/>
      <c r="AL57" s="76"/>
    </row>
    <row r="58" spans="2:54" x14ac:dyDescent="0.3">
      <c r="C58" s="6" t="s">
        <v>1011</v>
      </c>
      <c r="D58" s="403" t="s">
        <v>1005</v>
      </c>
      <c r="E58" s="405">
        <v>0.5</v>
      </c>
      <c r="F58" s="77">
        <v>0.5</v>
      </c>
      <c r="G58" s="77">
        <v>0.5</v>
      </c>
      <c r="H58" s="77">
        <v>0</v>
      </c>
      <c r="I58" s="77">
        <v>0</v>
      </c>
      <c r="J58" s="77">
        <v>0</v>
      </c>
      <c r="K58" s="77">
        <v>0</v>
      </c>
      <c r="L58" s="77">
        <v>0</v>
      </c>
      <c r="M58" s="77">
        <v>0</v>
      </c>
      <c r="N58" s="77">
        <v>0</v>
      </c>
      <c r="O58" s="77">
        <v>0</v>
      </c>
      <c r="P58" s="77">
        <v>0</v>
      </c>
      <c r="Q58" s="406">
        <v>0</v>
      </c>
      <c r="T58" t="s">
        <v>1028</v>
      </c>
      <c r="Z58" s="76"/>
      <c r="AA58" s="76"/>
      <c r="AB58" s="76"/>
      <c r="AC58" s="76"/>
      <c r="AD58" s="76"/>
      <c r="AE58" s="76"/>
      <c r="AF58" s="76"/>
      <c r="AG58" s="76"/>
      <c r="AH58" s="76"/>
      <c r="AI58" s="76"/>
      <c r="AJ58" s="76"/>
      <c r="AK58" s="76"/>
      <c r="AL58" s="76"/>
    </row>
    <row r="59" spans="2:54" ht="15" thickBot="1" x14ac:dyDescent="0.35">
      <c r="C59" s="7" t="s">
        <v>88</v>
      </c>
      <c r="D59" s="404" t="s">
        <v>1005</v>
      </c>
      <c r="E59" s="407">
        <v>7.1</v>
      </c>
      <c r="F59" s="408">
        <v>7.1</v>
      </c>
      <c r="G59" s="408">
        <v>7.1</v>
      </c>
      <c r="H59" s="408">
        <v>7.1</v>
      </c>
      <c r="I59" s="408">
        <v>7.1</v>
      </c>
      <c r="J59" s="408">
        <v>6.1</v>
      </c>
      <c r="K59" s="408">
        <v>5.0999999999999996</v>
      </c>
      <c r="L59" s="408">
        <v>3</v>
      </c>
      <c r="M59" s="408">
        <v>2.1</v>
      </c>
      <c r="N59" s="408">
        <v>2.1</v>
      </c>
      <c r="O59" s="408">
        <v>2.1</v>
      </c>
      <c r="P59" s="408">
        <v>1</v>
      </c>
      <c r="Q59" s="409">
        <v>0</v>
      </c>
      <c r="T59" t="s">
        <v>1029</v>
      </c>
      <c r="Z59" s="76"/>
      <c r="AA59" s="76"/>
      <c r="AB59" s="76"/>
      <c r="AC59" s="76"/>
      <c r="AD59" s="76"/>
      <c r="AE59" s="76"/>
      <c r="AF59" s="76"/>
      <c r="AG59" s="76"/>
      <c r="AH59" s="76"/>
      <c r="AI59" s="76"/>
      <c r="AJ59" s="76"/>
      <c r="AK59" s="76"/>
      <c r="AL59" s="76"/>
    </row>
    <row r="61" spans="2:54" s="306" customFormat="1" ht="21" x14ac:dyDescent="0.4">
      <c r="B61" s="307" t="s">
        <v>1030</v>
      </c>
      <c r="C61" s="315"/>
      <c r="D61" s="315"/>
      <c r="E61" s="315"/>
      <c r="F61" s="315"/>
      <c r="G61" s="315"/>
      <c r="H61" s="315"/>
      <c r="I61" s="315"/>
      <c r="J61" s="315"/>
      <c r="K61" s="315"/>
      <c r="L61" s="315"/>
      <c r="M61" s="315"/>
      <c r="N61" s="315"/>
      <c r="O61" s="315"/>
      <c r="P61" s="315"/>
      <c r="Q61" s="315"/>
      <c r="R61" s="312"/>
      <c r="S61" s="312"/>
      <c r="T61" s="312"/>
      <c r="U61" s="312"/>
      <c r="V61" s="312"/>
      <c r="W61" s="312"/>
      <c r="X61" s="313"/>
      <c r="Y61" s="313"/>
      <c r="Z61" s="313"/>
      <c r="AA61" s="313"/>
      <c r="AB61" s="313"/>
      <c r="AC61" s="313"/>
      <c r="AD61" s="313"/>
      <c r="AE61" s="313"/>
      <c r="AF61" s="313"/>
      <c r="AG61" s="314"/>
      <c r="AH61" s="314"/>
      <c r="AI61" s="314"/>
      <c r="AJ61" s="314"/>
      <c r="AK61" s="314"/>
      <c r="AL61" s="314"/>
      <c r="AM61" s="314"/>
      <c r="AN61" s="314"/>
      <c r="AO61" s="314"/>
      <c r="AP61" s="314"/>
      <c r="AQ61" s="314"/>
      <c r="AR61" s="314"/>
      <c r="AS61" s="314"/>
      <c r="AT61" s="314"/>
      <c r="AU61" s="314"/>
      <c r="AV61" s="314"/>
      <c r="AW61" s="314"/>
      <c r="AX61" s="314"/>
      <c r="AY61" s="314"/>
      <c r="AZ61" s="314"/>
      <c r="BA61" s="314"/>
      <c r="BB61" s="314"/>
    </row>
    <row r="62" spans="2:54" ht="15" thickBot="1" x14ac:dyDescent="0.35"/>
    <row r="63" spans="2:54" ht="15" thickBot="1" x14ac:dyDescent="0.35">
      <c r="C63" s="353" t="s">
        <v>747</v>
      </c>
      <c r="D63" s="401" t="s">
        <v>999</v>
      </c>
      <c r="E63" s="353">
        <v>2022</v>
      </c>
      <c r="F63" s="398">
        <v>2023</v>
      </c>
      <c r="G63" s="398">
        <v>2024</v>
      </c>
      <c r="H63" s="398">
        <v>2025</v>
      </c>
      <c r="I63" s="398">
        <v>2026</v>
      </c>
      <c r="J63" s="398">
        <v>2027</v>
      </c>
      <c r="K63" s="398">
        <v>2028</v>
      </c>
      <c r="L63" s="398">
        <v>2029</v>
      </c>
      <c r="M63" s="398">
        <v>2030</v>
      </c>
      <c r="N63" s="398">
        <v>2031</v>
      </c>
      <c r="O63" s="398">
        <v>2032</v>
      </c>
      <c r="P63" s="398">
        <v>2033</v>
      </c>
      <c r="Q63" s="399">
        <v>2034</v>
      </c>
      <c r="S63" t="s">
        <v>1000</v>
      </c>
    </row>
    <row r="64" spans="2:54" x14ac:dyDescent="0.3">
      <c r="C64" s="400" t="s">
        <v>1001</v>
      </c>
      <c r="D64" s="402" t="s">
        <v>1002</v>
      </c>
      <c r="E64" s="412" t="s">
        <v>1012</v>
      </c>
      <c r="F64" s="413">
        <v>326</v>
      </c>
      <c r="G64" s="413">
        <v>329</v>
      </c>
      <c r="H64" s="413">
        <v>332</v>
      </c>
      <c r="I64" s="413">
        <v>335</v>
      </c>
      <c r="J64" s="413">
        <v>342</v>
      </c>
      <c r="K64" s="413">
        <v>350</v>
      </c>
      <c r="L64" s="413">
        <v>357</v>
      </c>
      <c r="M64" s="413">
        <v>359</v>
      </c>
      <c r="N64" s="413">
        <v>362</v>
      </c>
      <c r="O64" s="413">
        <v>364</v>
      </c>
      <c r="P64" s="413">
        <v>366</v>
      </c>
      <c r="Q64" s="414">
        <v>369</v>
      </c>
      <c r="S64" t="s">
        <v>1013</v>
      </c>
      <c r="Z64" s="76"/>
      <c r="AA64" s="76"/>
      <c r="AB64" s="76"/>
      <c r="AC64" s="76"/>
      <c r="AD64" s="76"/>
      <c r="AE64" s="76"/>
      <c r="AF64" s="76"/>
      <c r="AG64" s="76"/>
      <c r="AH64" s="76"/>
      <c r="AI64" s="76"/>
      <c r="AJ64" s="76"/>
      <c r="AK64" s="76"/>
      <c r="AL64" s="76"/>
    </row>
    <row r="65" spans="2:54" x14ac:dyDescent="0.3">
      <c r="C65" s="6" t="s">
        <v>1004</v>
      </c>
      <c r="D65" s="403" t="s">
        <v>1005</v>
      </c>
      <c r="E65" s="410">
        <v>13</v>
      </c>
      <c r="F65" s="76">
        <v>13</v>
      </c>
      <c r="G65" s="76">
        <v>14</v>
      </c>
      <c r="H65" s="76">
        <v>15</v>
      </c>
      <c r="I65" s="76">
        <v>16</v>
      </c>
      <c r="J65" s="76">
        <v>16</v>
      </c>
      <c r="K65" s="76">
        <v>17</v>
      </c>
      <c r="L65" s="76">
        <v>19</v>
      </c>
      <c r="M65" s="76">
        <v>20</v>
      </c>
      <c r="N65" s="76">
        <v>21</v>
      </c>
      <c r="O65" s="76">
        <v>23</v>
      </c>
      <c r="P65" s="76">
        <v>24</v>
      </c>
      <c r="Q65" s="411">
        <v>25</v>
      </c>
      <c r="S65" t="s">
        <v>1031</v>
      </c>
      <c r="Z65" s="76"/>
      <c r="AA65" s="76"/>
      <c r="AB65" s="76"/>
      <c r="AC65" s="76"/>
      <c r="AD65" s="76"/>
      <c r="AE65" s="76"/>
      <c r="AF65" s="76"/>
      <c r="AG65" s="76"/>
      <c r="AH65" s="76"/>
      <c r="AI65" s="76"/>
      <c r="AJ65" s="76"/>
      <c r="AK65" s="76"/>
      <c r="AL65" s="76"/>
    </row>
    <row r="66" spans="2:54" x14ac:dyDescent="0.3">
      <c r="C66" s="6" t="s">
        <v>1007</v>
      </c>
      <c r="D66" s="403" t="s">
        <v>1005</v>
      </c>
      <c r="E66" s="410">
        <v>0</v>
      </c>
      <c r="F66" s="76">
        <v>0</v>
      </c>
      <c r="G66" s="76">
        <v>1</v>
      </c>
      <c r="H66" s="76">
        <v>1</v>
      </c>
      <c r="I66" s="76">
        <v>2</v>
      </c>
      <c r="J66" s="76">
        <v>3</v>
      </c>
      <c r="K66" s="76">
        <v>5</v>
      </c>
      <c r="L66" s="76">
        <v>9</v>
      </c>
      <c r="M66" s="76">
        <v>11</v>
      </c>
      <c r="N66" s="76">
        <v>13</v>
      </c>
      <c r="O66" s="76">
        <v>16</v>
      </c>
      <c r="P66" s="76">
        <v>18</v>
      </c>
      <c r="Q66" s="411">
        <v>21</v>
      </c>
      <c r="Z66" s="76"/>
      <c r="AA66" s="76"/>
      <c r="AB66" s="76"/>
      <c r="AC66" s="76"/>
      <c r="AD66" s="76"/>
      <c r="AE66" s="76"/>
      <c r="AF66" s="76"/>
      <c r="AG66" s="76"/>
      <c r="AH66" s="76"/>
      <c r="AI66" s="76"/>
      <c r="AJ66" s="76"/>
      <c r="AK66" s="76"/>
      <c r="AL66" s="76"/>
    </row>
    <row r="67" spans="2:54" x14ac:dyDescent="0.3">
      <c r="C67" s="6" t="s">
        <v>1009</v>
      </c>
      <c r="D67" s="403" t="s">
        <v>1005</v>
      </c>
      <c r="E67" s="410">
        <v>31</v>
      </c>
      <c r="F67" s="76">
        <v>34</v>
      </c>
      <c r="G67" s="76">
        <v>39</v>
      </c>
      <c r="H67" s="76">
        <v>44</v>
      </c>
      <c r="I67" s="76">
        <v>50</v>
      </c>
      <c r="J67" s="76">
        <v>56</v>
      </c>
      <c r="K67" s="76">
        <v>62</v>
      </c>
      <c r="L67" s="76">
        <v>68</v>
      </c>
      <c r="M67" s="76">
        <v>75</v>
      </c>
      <c r="N67" s="76">
        <v>81</v>
      </c>
      <c r="O67" s="76">
        <v>87</v>
      </c>
      <c r="P67" s="76">
        <v>93</v>
      </c>
      <c r="Q67" s="411">
        <v>99</v>
      </c>
      <c r="Z67" s="76"/>
      <c r="AA67" s="76"/>
      <c r="AB67" s="76"/>
      <c r="AC67" s="76"/>
      <c r="AD67" s="76"/>
      <c r="AE67" s="76"/>
      <c r="AF67" s="76"/>
      <c r="AG67" s="76"/>
      <c r="AH67" s="76"/>
      <c r="AI67" s="76"/>
      <c r="AJ67" s="76"/>
      <c r="AK67" s="76"/>
      <c r="AL67" s="76"/>
    </row>
    <row r="68" spans="2:54" x14ac:dyDescent="0.3">
      <c r="C68" s="6" t="s">
        <v>1011</v>
      </c>
      <c r="D68" s="403" t="s">
        <v>1005</v>
      </c>
      <c r="E68" s="405">
        <v>4</v>
      </c>
      <c r="F68" s="77">
        <v>1.7</v>
      </c>
      <c r="G68" s="77">
        <v>0.5</v>
      </c>
      <c r="H68" s="77">
        <v>0.5</v>
      </c>
      <c r="I68" s="77">
        <v>0.5</v>
      </c>
      <c r="J68" s="77">
        <v>0</v>
      </c>
      <c r="K68" s="77">
        <v>0</v>
      </c>
      <c r="L68" s="77">
        <v>0</v>
      </c>
      <c r="M68" s="77">
        <v>0</v>
      </c>
      <c r="N68" s="77">
        <v>0</v>
      </c>
      <c r="O68" s="77">
        <v>0</v>
      </c>
      <c r="P68" s="77">
        <v>0</v>
      </c>
      <c r="Q68" s="406">
        <v>0</v>
      </c>
      <c r="Z68" s="76"/>
      <c r="AA68" s="76"/>
      <c r="AB68" s="76"/>
      <c r="AC68" s="76"/>
      <c r="AD68" s="76"/>
      <c r="AE68" s="76"/>
      <c r="AF68" s="76"/>
      <c r="AG68" s="76"/>
      <c r="AH68" s="76"/>
      <c r="AI68" s="76"/>
      <c r="AJ68" s="76"/>
      <c r="AK68" s="76"/>
      <c r="AL68" s="76"/>
    </row>
    <row r="69" spans="2:54" ht="15" thickBot="1" x14ac:dyDescent="0.35">
      <c r="C69" s="7" t="s">
        <v>88</v>
      </c>
      <c r="D69" s="404" t="s">
        <v>1005</v>
      </c>
      <c r="E69" s="407"/>
      <c r="F69" s="408"/>
      <c r="G69" s="408"/>
      <c r="H69" s="408"/>
      <c r="I69" s="408"/>
      <c r="J69" s="408"/>
      <c r="K69" s="408"/>
      <c r="L69" s="408"/>
      <c r="M69" s="408"/>
      <c r="N69" s="408"/>
      <c r="O69" s="408"/>
      <c r="P69" s="408"/>
      <c r="Q69" s="409"/>
      <c r="Z69" s="76"/>
      <c r="AA69" s="76"/>
      <c r="AB69" s="76"/>
      <c r="AC69" s="76"/>
      <c r="AD69" s="76"/>
      <c r="AE69" s="76"/>
      <c r="AF69" s="76"/>
      <c r="AG69" s="76"/>
      <c r="AH69" s="76"/>
      <c r="AI69" s="76"/>
      <c r="AJ69" s="76"/>
      <c r="AK69" s="76"/>
      <c r="AL69" s="76"/>
    </row>
    <row r="71" spans="2:54" s="306" customFormat="1" ht="21" x14ac:dyDescent="0.4">
      <c r="B71" s="307" t="s">
        <v>990</v>
      </c>
      <c r="C71" s="315"/>
      <c r="D71" s="315"/>
      <c r="E71" s="315"/>
      <c r="F71" s="315"/>
      <c r="G71" s="315"/>
      <c r="H71" s="315"/>
      <c r="I71" s="315"/>
      <c r="J71" s="315"/>
      <c r="K71" s="315"/>
      <c r="L71" s="315"/>
      <c r="M71" s="315"/>
      <c r="N71" s="315"/>
      <c r="O71" s="315"/>
      <c r="P71" s="315"/>
      <c r="Q71" s="315"/>
      <c r="R71" s="312"/>
      <c r="S71" s="312"/>
      <c r="T71" s="312"/>
      <c r="U71" s="312"/>
      <c r="V71" s="312"/>
      <c r="W71" s="312"/>
      <c r="X71" s="313"/>
      <c r="Y71" s="313"/>
      <c r="Z71" s="313"/>
      <c r="AA71" s="313"/>
      <c r="AB71" s="313"/>
      <c r="AC71" s="313"/>
      <c r="AD71" s="313"/>
      <c r="AE71" s="313"/>
      <c r="AF71" s="313"/>
      <c r="AG71" s="314"/>
      <c r="AH71" s="314"/>
      <c r="AI71" s="314"/>
      <c r="AJ71" s="314"/>
      <c r="AK71" s="314"/>
      <c r="AL71" s="314"/>
      <c r="AM71" s="314"/>
      <c r="AN71" s="314"/>
      <c r="AO71" s="314"/>
      <c r="AP71" s="314"/>
      <c r="AQ71" s="314"/>
      <c r="AR71" s="314"/>
      <c r="AS71" s="314"/>
      <c r="AT71" s="314"/>
      <c r="AU71" s="314"/>
      <c r="AV71" s="314"/>
      <c r="AW71" s="314"/>
      <c r="AX71" s="314"/>
      <c r="AY71" s="314"/>
      <c r="AZ71" s="314"/>
      <c r="BA71" s="314"/>
      <c r="BB71" s="314"/>
    </row>
    <row r="72" spans="2:54" ht="15" thickBot="1" x14ac:dyDescent="0.35"/>
    <row r="73" spans="2:54" ht="15" thickBot="1" x14ac:dyDescent="0.35">
      <c r="C73" s="353" t="s">
        <v>747</v>
      </c>
      <c r="D73" s="401" t="s">
        <v>999</v>
      </c>
      <c r="E73" s="353">
        <v>2022</v>
      </c>
      <c r="F73" s="398">
        <v>2023</v>
      </c>
      <c r="G73" s="398">
        <v>2024</v>
      </c>
      <c r="H73" s="398">
        <v>2025</v>
      </c>
      <c r="I73" s="398">
        <v>2026</v>
      </c>
      <c r="J73" s="398">
        <v>2027</v>
      </c>
      <c r="K73" s="398">
        <v>2028</v>
      </c>
      <c r="L73" s="398">
        <v>2029</v>
      </c>
      <c r="M73" s="398">
        <v>2030</v>
      </c>
      <c r="N73" s="398">
        <v>2031</v>
      </c>
      <c r="O73" s="398">
        <v>2032</v>
      </c>
      <c r="P73" s="398">
        <v>2033</v>
      </c>
      <c r="Q73" s="399">
        <v>2034</v>
      </c>
      <c r="S73" t="s">
        <v>1000</v>
      </c>
    </row>
    <row r="74" spans="2:54" x14ac:dyDescent="0.3">
      <c r="C74" s="400" t="s">
        <v>1001</v>
      </c>
      <c r="D74" s="402" t="s">
        <v>1002</v>
      </c>
      <c r="E74" s="412" t="s">
        <v>1012</v>
      </c>
      <c r="F74" s="413">
        <v>165</v>
      </c>
      <c r="G74" s="413">
        <v>167</v>
      </c>
      <c r="H74" s="413">
        <v>171</v>
      </c>
      <c r="I74" s="413">
        <v>174</v>
      </c>
      <c r="J74" s="413">
        <v>178</v>
      </c>
      <c r="K74" s="413">
        <v>181</v>
      </c>
      <c r="L74" s="413">
        <v>185</v>
      </c>
      <c r="M74" s="413">
        <v>188</v>
      </c>
      <c r="N74" s="413">
        <v>192</v>
      </c>
      <c r="O74" s="413">
        <v>195</v>
      </c>
      <c r="P74" s="413">
        <v>199</v>
      </c>
      <c r="Q74" s="414">
        <v>202</v>
      </c>
      <c r="S74" t="s">
        <v>1013</v>
      </c>
      <c r="Z74" s="76"/>
      <c r="AA74" s="76"/>
      <c r="AB74" s="76"/>
      <c r="AC74" s="76"/>
      <c r="AD74" s="76"/>
      <c r="AE74" s="76"/>
      <c r="AF74" s="76"/>
      <c r="AG74" s="76"/>
      <c r="AH74" s="76"/>
      <c r="AI74" s="76"/>
      <c r="AJ74" s="76"/>
      <c r="AK74" s="76"/>
      <c r="AL74" s="76"/>
    </row>
    <row r="75" spans="2:54" x14ac:dyDescent="0.3">
      <c r="C75" s="6" t="s">
        <v>1004</v>
      </c>
      <c r="D75" s="403" t="s">
        <v>1005</v>
      </c>
      <c r="E75" s="410">
        <v>10</v>
      </c>
      <c r="F75" s="76">
        <v>11</v>
      </c>
      <c r="G75" s="76">
        <v>11</v>
      </c>
      <c r="H75" s="76">
        <v>11</v>
      </c>
      <c r="I75" s="76">
        <v>11</v>
      </c>
      <c r="J75" s="76">
        <v>11</v>
      </c>
      <c r="K75" s="76">
        <v>11</v>
      </c>
      <c r="L75" s="76">
        <v>12</v>
      </c>
      <c r="M75" s="76">
        <v>12</v>
      </c>
      <c r="N75" s="76">
        <v>12</v>
      </c>
      <c r="O75" s="76">
        <v>12</v>
      </c>
      <c r="P75" s="76">
        <v>12</v>
      </c>
      <c r="Q75" s="411">
        <v>12</v>
      </c>
      <c r="S75" t="s">
        <v>1032</v>
      </c>
      <c r="Z75" s="76"/>
      <c r="AA75" s="76"/>
      <c r="AB75" s="76"/>
      <c r="AC75" s="76"/>
      <c r="AD75" s="76"/>
      <c r="AE75" s="76"/>
      <c r="AF75" s="76"/>
      <c r="AG75" s="76"/>
      <c r="AH75" s="76"/>
      <c r="AI75" s="76"/>
      <c r="AJ75" s="76"/>
      <c r="AK75" s="76"/>
      <c r="AL75" s="76"/>
    </row>
    <row r="76" spans="2:54" x14ac:dyDescent="0.3">
      <c r="C76" s="6" t="s">
        <v>1007</v>
      </c>
      <c r="D76" s="403" t="s">
        <v>1005</v>
      </c>
      <c r="E76" s="410">
        <v>0</v>
      </c>
      <c r="F76" s="76">
        <v>0</v>
      </c>
      <c r="G76" s="76">
        <v>0</v>
      </c>
      <c r="H76" s="76">
        <v>1</v>
      </c>
      <c r="I76" s="76">
        <v>4</v>
      </c>
      <c r="J76" s="76">
        <v>6</v>
      </c>
      <c r="K76" s="76">
        <v>6</v>
      </c>
      <c r="L76" s="76">
        <v>6</v>
      </c>
      <c r="M76" s="76">
        <v>6</v>
      </c>
      <c r="N76" s="76">
        <v>7</v>
      </c>
      <c r="O76" s="76">
        <v>7</v>
      </c>
      <c r="P76" s="76">
        <v>8</v>
      </c>
      <c r="Q76" s="411">
        <v>8</v>
      </c>
      <c r="S76" t="s">
        <v>1033</v>
      </c>
      <c r="Z76" s="76"/>
      <c r="AA76" s="76"/>
      <c r="AB76" s="76"/>
      <c r="AC76" s="76"/>
      <c r="AD76" s="76"/>
      <c r="AE76" s="76"/>
      <c r="AF76" s="76"/>
      <c r="AG76" s="76"/>
      <c r="AH76" s="76"/>
      <c r="AI76" s="76"/>
      <c r="AJ76" s="76"/>
      <c r="AK76" s="76"/>
      <c r="AL76" s="76"/>
    </row>
    <row r="77" spans="2:54" x14ac:dyDescent="0.3">
      <c r="C77" s="6" t="s">
        <v>1009</v>
      </c>
      <c r="D77" s="403" t="s">
        <v>1005</v>
      </c>
      <c r="E77" s="410">
        <v>12</v>
      </c>
      <c r="F77" s="76">
        <v>15</v>
      </c>
      <c r="G77" s="76">
        <v>17</v>
      </c>
      <c r="H77" s="76">
        <v>20</v>
      </c>
      <c r="I77" s="76">
        <v>22</v>
      </c>
      <c r="J77" s="76">
        <v>23</v>
      </c>
      <c r="K77" s="76">
        <v>25</v>
      </c>
      <c r="L77" s="76">
        <v>27</v>
      </c>
      <c r="M77" s="76">
        <v>29</v>
      </c>
      <c r="N77" s="76">
        <v>30</v>
      </c>
      <c r="O77" s="76">
        <v>32</v>
      </c>
      <c r="P77" s="76">
        <v>34</v>
      </c>
      <c r="Q77" s="411">
        <v>35</v>
      </c>
      <c r="Z77" s="76"/>
      <c r="AA77" s="76"/>
      <c r="AB77" s="76"/>
      <c r="AC77" s="76"/>
      <c r="AD77" s="76"/>
      <c r="AE77" s="76"/>
      <c r="AF77" s="76"/>
      <c r="AG77" s="76"/>
      <c r="AH77" s="76"/>
      <c r="AI77" s="76"/>
      <c r="AJ77" s="76"/>
      <c r="AK77" s="76"/>
      <c r="AL77" s="76"/>
    </row>
    <row r="78" spans="2:54" x14ac:dyDescent="0.3">
      <c r="C78" s="6" t="s">
        <v>1011</v>
      </c>
      <c r="D78" s="403" t="s">
        <v>1005</v>
      </c>
      <c r="E78" s="410">
        <v>22</v>
      </c>
      <c r="F78" s="76">
        <v>21.6</v>
      </c>
      <c r="G78" s="76">
        <v>21.2</v>
      </c>
      <c r="H78" s="76">
        <v>20.7</v>
      </c>
      <c r="I78" s="76">
        <v>20.7</v>
      </c>
      <c r="J78" s="76">
        <v>20.7</v>
      </c>
      <c r="K78" s="76">
        <v>20.3</v>
      </c>
      <c r="L78" s="76">
        <v>20.3</v>
      </c>
      <c r="M78" s="76">
        <v>16</v>
      </c>
      <c r="N78" s="76">
        <v>15.6</v>
      </c>
      <c r="O78" s="76">
        <v>14.5</v>
      </c>
      <c r="P78" s="76">
        <v>13.8</v>
      </c>
      <c r="Q78" s="411">
        <v>11.6</v>
      </c>
      <c r="Z78" s="76"/>
      <c r="AA78" s="76"/>
      <c r="AB78" s="76"/>
      <c r="AC78" s="76"/>
      <c r="AD78" s="76"/>
      <c r="AE78" s="76"/>
      <c r="AF78" s="76"/>
      <c r="AG78" s="76"/>
      <c r="AH78" s="76"/>
      <c r="AI78" s="76"/>
      <c r="AJ78" s="76"/>
      <c r="AK78" s="76"/>
      <c r="AL78" s="76"/>
    </row>
    <row r="79" spans="2:54" ht="15" thickBot="1" x14ac:dyDescent="0.35">
      <c r="C79" s="7" t="s">
        <v>88</v>
      </c>
      <c r="D79" s="404" t="s">
        <v>1005</v>
      </c>
      <c r="E79" s="407"/>
      <c r="F79" s="408"/>
      <c r="G79" s="408"/>
      <c r="H79" s="408"/>
      <c r="I79" s="408"/>
      <c r="J79" s="408"/>
      <c r="K79" s="408"/>
      <c r="L79" s="408"/>
      <c r="M79" s="408"/>
      <c r="N79" s="408"/>
      <c r="O79" s="408"/>
      <c r="P79" s="408"/>
      <c r="Q79" s="409"/>
      <c r="Z79" s="76" t="str">
        <f>IF(E79="","",ROUND(E79,1))</f>
        <v/>
      </c>
      <c r="AA79" s="76" t="str">
        <f t="shared" ref="AA79" si="0">IF(F79="","",ROUND(F79,1))</f>
        <v/>
      </c>
      <c r="AB79" s="76" t="str">
        <f t="shared" ref="AB79" si="1">IF(G79="","",ROUND(G79,1))</f>
        <v/>
      </c>
      <c r="AC79" s="76" t="str">
        <f t="shared" ref="AC79" si="2">IF(H79="","",ROUND(H79,1))</f>
        <v/>
      </c>
      <c r="AD79" s="76" t="str">
        <f t="shared" ref="AD79" si="3">IF(I79="","",ROUND(I79,1))</f>
        <v/>
      </c>
      <c r="AE79" s="76" t="str">
        <f t="shared" ref="AE79" si="4">IF(J79="","",ROUND(J79,1))</f>
        <v/>
      </c>
      <c r="AF79" s="76" t="str">
        <f t="shared" ref="AF79" si="5">IF(K79="","",ROUND(K79,1))</f>
        <v/>
      </c>
      <c r="AG79" s="76" t="str">
        <f t="shared" ref="AG79" si="6">IF(L79="","",ROUND(L79,1))</f>
        <v/>
      </c>
      <c r="AH79" s="76" t="str">
        <f t="shared" ref="AH79" si="7">IF(M79="","",ROUND(M79,1))</f>
        <v/>
      </c>
      <c r="AI79" s="76" t="str">
        <f t="shared" ref="AI79" si="8">IF(N79="","",ROUND(N79,1))</f>
        <v/>
      </c>
      <c r="AJ79" s="76" t="str">
        <f t="shared" ref="AJ79" si="9">IF(O79="","",ROUND(O79,1))</f>
        <v/>
      </c>
      <c r="AK79" s="76" t="str">
        <f t="shared" ref="AK79" si="10">IF(P79="","",ROUND(P79,1))</f>
        <v/>
      </c>
      <c r="AL79" s="76" t="str">
        <f t="shared" ref="AL79" si="11">IF(Q79="","",ROUND(Q79,1))</f>
        <v/>
      </c>
    </row>
    <row r="81" spans="2:54" s="306" customFormat="1" ht="21" x14ac:dyDescent="0.4">
      <c r="B81" s="307" t="s">
        <v>1034</v>
      </c>
      <c r="C81" s="315"/>
      <c r="D81" s="315"/>
      <c r="E81" s="315"/>
      <c r="F81" s="315"/>
      <c r="G81" s="315"/>
      <c r="H81" s="315"/>
      <c r="I81" s="315"/>
      <c r="J81" s="315"/>
      <c r="K81" s="315"/>
      <c r="L81" s="315"/>
      <c r="M81" s="315"/>
      <c r="N81" s="315"/>
      <c r="O81" s="315"/>
      <c r="P81" s="315"/>
      <c r="Q81" s="315"/>
      <c r="R81" s="312"/>
      <c r="S81" s="312"/>
      <c r="T81" s="312"/>
      <c r="U81" s="312"/>
      <c r="V81" s="312"/>
      <c r="W81" s="312"/>
      <c r="X81" s="313"/>
      <c r="Y81" s="313"/>
      <c r="Z81" s="313"/>
      <c r="AA81" s="313"/>
      <c r="AB81" s="313"/>
      <c r="AC81" s="313"/>
      <c r="AD81" s="313"/>
      <c r="AE81" s="313"/>
      <c r="AF81" s="313"/>
      <c r="AG81" s="314"/>
      <c r="AH81" s="314"/>
      <c r="AI81" s="314"/>
      <c r="AJ81" s="314"/>
      <c r="AK81" s="314"/>
      <c r="AL81" s="314"/>
      <c r="AM81" s="314"/>
      <c r="AN81" s="314"/>
      <c r="AO81" s="314"/>
      <c r="AP81" s="314"/>
      <c r="AQ81" s="314"/>
      <c r="AR81" s="314"/>
      <c r="AS81" s="314"/>
      <c r="AT81" s="314"/>
      <c r="AU81" s="314"/>
      <c r="AV81" s="314"/>
      <c r="AW81" s="314"/>
      <c r="AX81" s="314"/>
      <c r="AY81" s="314"/>
      <c r="AZ81" s="314"/>
      <c r="BA81" s="314"/>
      <c r="BB81" s="314"/>
    </row>
    <row r="82" spans="2:54" ht="15" thickBot="1" x14ac:dyDescent="0.35"/>
    <row r="83" spans="2:54" ht="15" thickBot="1" x14ac:dyDescent="0.35">
      <c r="C83" s="353" t="s">
        <v>747</v>
      </c>
      <c r="D83" s="401" t="s">
        <v>999</v>
      </c>
      <c r="E83" s="353">
        <v>2022</v>
      </c>
      <c r="F83" s="398">
        <v>2023</v>
      </c>
      <c r="G83" s="398">
        <v>2024</v>
      </c>
      <c r="H83" s="398">
        <v>2025</v>
      </c>
      <c r="I83" s="398">
        <v>2026</v>
      </c>
      <c r="J83" s="398">
        <v>2027</v>
      </c>
      <c r="K83" s="398">
        <v>2028</v>
      </c>
      <c r="L83" s="398">
        <v>2029</v>
      </c>
      <c r="M83" s="398">
        <v>2030</v>
      </c>
      <c r="N83" s="398">
        <v>2031</v>
      </c>
      <c r="O83" s="398">
        <v>2032</v>
      </c>
      <c r="P83" s="398">
        <v>2033</v>
      </c>
      <c r="Q83" s="399">
        <v>2034</v>
      </c>
      <c r="S83" t="s">
        <v>1000</v>
      </c>
    </row>
    <row r="84" spans="2:54" x14ac:dyDescent="0.3">
      <c r="C84" s="400" t="s">
        <v>1001</v>
      </c>
      <c r="D84" s="402" t="s">
        <v>1002</v>
      </c>
      <c r="E84" s="412">
        <v>38</v>
      </c>
      <c r="F84" s="413">
        <v>39</v>
      </c>
      <c r="G84" s="413">
        <v>40</v>
      </c>
      <c r="H84" s="413">
        <v>43</v>
      </c>
      <c r="I84" s="413">
        <v>45</v>
      </c>
      <c r="J84" s="413">
        <v>48</v>
      </c>
      <c r="K84" s="413">
        <v>51</v>
      </c>
      <c r="L84" s="413">
        <v>54</v>
      </c>
      <c r="M84" s="413">
        <v>57</v>
      </c>
      <c r="N84" s="413">
        <v>60</v>
      </c>
      <c r="O84" s="413">
        <v>61</v>
      </c>
      <c r="P84" s="413">
        <v>63</v>
      </c>
      <c r="Q84" s="414">
        <v>64</v>
      </c>
      <c r="S84" t="s">
        <v>1003</v>
      </c>
      <c r="Z84" s="76"/>
      <c r="AA84" s="76"/>
      <c r="AB84" s="76"/>
      <c r="AC84" s="76"/>
      <c r="AD84" s="76"/>
      <c r="AE84" s="76"/>
      <c r="AF84" s="76"/>
      <c r="AG84" s="76"/>
      <c r="AH84" s="76"/>
      <c r="AI84" s="76"/>
      <c r="AJ84" s="76"/>
      <c r="AK84" s="76"/>
      <c r="AL84" s="76"/>
    </row>
    <row r="85" spans="2:54" x14ac:dyDescent="0.3">
      <c r="C85" s="6" t="s">
        <v>1004</v>
      </c>
      <c r="D85" s="403" t="s">
        <v>1005</v>
      </c>
      <c r="E85" s="410">
        <v>5</v>
      </c>
      <c r="F85" s="76">
        <v>5</v>
      </c>
      <c r="G85" s="76">
        <v>5</v>
      </c>
      <c r="H85" s="76">
        <v>6</v>
      </c>
      <c r="I85" s="76">
        <v>6</v>
      </c>
      <c r="J85" s="76">
        <v>7</v>
      </c>
      <c r="K85" s="76">
        <v>7</v>
      </c>
      <c r="L85" s="76">
        <v>7</v>
      </c>
      <c r="M85" s="76">
        <v>7</v>
      </c>
      <c r="N85" s="76">
        <v>8</v>
      </c>
      <c r="O85" s="76">
        <v>8</v>
      </c>
      <c r="P85" s="76">
        <v>8</v>
      </c>
      <c r="Q85" s="411">
        <v>7</v>
      </c>
      <c r="S85" t="s">
        <v>1035</v>
      </c>
      <c r="Z85" s="76"/>
      <c r="AA85" s="76"/>
      <c r="AB85" s="76"/>
      <c r="AC85" s="76"/>
      <c r="AD85" s="76"/>
      <c r="AE85" s="76"/>
      <c r="AF85" s="76"/>
      <c r="AG85" s="76"/>
      <c r="AH85" s="76"/>
      <c r="AI85" s="76"/>
      <c r="AJ85" s="76"/>
      <c r="AK85" s="76"/>
      <c r="AL85" s="76"/>
    </row>
    <row r="86" spans="2:54" x14ac:dyDescent="0.3">
      <c r="C86" s="6" t="s">
        <v>1007</v>
      </c>
      <c r="D86" s="403" t="s">
        <v>1005</v>
      </c>
      <c r="E86" s="410">
        <v>2</v>
      </c>
      <c r="F86" s="76">
        <v>3</v>
      </c>
      <c r="G86" s="76">
        <v>3</v>
      </c>
      <c r="H86" s="76">
        <v>3</v>
      </c>
      <c r="I86" s="76">
        <v>4</v>
      </c>
      <c r="J86" s="76">
        <v>4</v>
      </c>
      <c r="K86" s="76">
        <v>5</v>
      </c>
      <c r="L86" s="76">
        <v>8</v>
      </c>
      <c r="M86" s="76">
        <v>13</v>
      </c>
      <c r="N86" s="76">
        <v>13</v>
      </c>
      <c r="O86" s="76">
        <v>16</v>
      </c>
      <c r="P86" s="76">
        <v>17</v>
      </c>
      <c r="Q86" s="411">
        <v>20</v>
      </c>
      <c r="S86" t="s">
        <v>1036</v>
      </c>
      <c r="Z86" s="76"/>
      <c r="AA86" s="76"/>
      <c r="AB86" s="76"/>
      <c r="AC86" s="76"/>
      <c r="AD86" s="76"/>
      <c r="AE86" s="76"/>
      <c r="AF86" s="76"/>
      <c r="AG86" s="76"/>
      <c r="AH86" s="76"/>
      <c r="AI86" s="76"/>
      <c r="AJ86" s="76"/>
      <c r="AK86" s="76"/>
      <c r="AL86" s="76"/>
    </row>
    <row r="87" spans="2:54" x14ac:dyDescent="0.3">
      <c r="C87" s="6" t="s">
        <v>1009</v>
      </c>
      <c r="D87" s="403" t="s">
        <v>1005</v>
      </c>
      <c r="E87" s="410">
        <v>3</v>
      </c>
      <c r="F87" s="76">
        <v>4</v>
      </c>
      <c r="G87" s="76">
        <v>6</v>
      </c>
      <c r="H87" s="76">
        <v>8</v>
      </c>
      <c r="I87" s="76">
        <v>11</v>
      </c>
      <c r="J87" s="76">
        <v>13</v>
      </c>
      <c r="K87" s="76">
        <v>15</v>
      </c>
      <c r="L87" s="76">
        <v>18</v>
      </c>
      <c r="M87" s="76">
        <v>19</v>
      </c>
      <c r="N87" s="76">
        <v>20</v>
      </c>
      <c r="O87" s="76">
        <v>20</v>
      </c>
      <c r="P87" s="76">
        <v>21</v>
      </c>
      <c r="Q87" s="411">
        <v>22</v>
      </c>
      <c r="Z87" s="76"/>
      <c r="AA87" s="76"/>
      <c r="AB87" s="76"/>
      <c r="AC87" s="76"/>
      <c r="AD87" s="76"/>
      <c r="AE87" s="76"/>
      <c r="AF87" s="76"/>
      <c r="AG87" s="76"/>
      <c r="AH87" s="76"/>
      <c r="AI87" s="76"/>
      <c r="AJ87" s="76"/>
      <c r="AK87" s="76"/>
      <c r="AL87" s="76"/>
    </row>
    <row r="88" spans="2:54" x14ac:dyDescent="0.3">
      <c r="C88" s="6" t="s">
        <v>1011</v>
      </c>
      <c r="D88" s="403" t="s">
        <v>1005</v>
      </c>
      <c r="E88" s="405">
        <v>0.8</v>
      </c>
      <c r="F88" s="77">
        <v>0.8</v>
      </c>
      <c r="G88" s="77">
        <v>0.4</v>
      </c>
      <c r="H88" s="77">
        <v>0.4</v>
      </c>
      <c r="I88" s="77">
        <v>0.4</v>
      </c>
      <c r="J88" s="77">
        <v>0.4</v>
      </c>
      <c r="K88" s="77">
        <v>0</v>
      </c>
      <c r="L88" s="77">
        <v>0</v>
      </c>
      <c r="M88" s="77">
        <v>0</v>
      </c>
      <c r="N88" s="77">
        <v>0</v>
      </c>
      <c r="O88" s="77">
        <v>0</v>
      </c>
      <c r="P88" s="77">
        <v>0</v>
      </c>
      <c r="Q88" s="406">
        <v>0</v>
      </c>
      <c r="Z88" s="76"/>
      <c r="AA88" s="76"/>
      <c r="AB88" s="76"/>
      <c r="AC88" s="76"/>
      <c r="AD88" s="76"/>
      <c r="AE88" s="76"/>
      <c r="AF88" s="76"/>
      <c r="AG88" s="76"/>
      <c r="AH88" s="76"/>
      <c r="AI88" s="76"/>
      <c r="AJ88" s="76"/>
      <c r="AK88" s="76"/>
      <c r="AL88" s="76"/>
    </row>
    <row r="89" spans="2:54" ht="15" thickBot="1" x14ac:dyDescent="0.35">
      <c r="C89" s="7" t="s">
        <v>88</v>
      </c>
      <c r="D89" s="404" t="s">
        <v>1005</v>
      </c>
      <c r="E89" s="407"/>
      <c r="F89" s="408"/>
      <c r="G89" s="408"/>
      <c r="H89" s="408"/>
      <c r="I89" s="408"/>
      <c r="J89" s="408"/>
      <c r="K89" s="408"/>
      <c r="L89" s="408"/>
      <c r="M89" s="408"/>
      <c r="N89" s="408"/>
      <c r="O89" s="408"/>
      <c r="P89" s="408"/>
      <c r="Q89" s="409"/>
      <c r="Z89" s="76"/>
      <c r="AA89" s="76"/>
      <c r="AB89" s="76"/>
      <c r="AC89" s="76"/>
      <c r="AD89" s="76"/>
      <c r="AE89" s="76"/>
      <c r="AF89" s="76"/>
      <c r="AG89" s="76"/>
      <c r="AH89" s="76"/>
      <c r="AI89" s="76"/>
      <c r="AJ89" s="76"/>
      <c r="AK89" s="76"/>
      <c r="AL89" s="76"/>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R141"/>
  <sheetViews>
    <sheetView showGridLines="0" zoomScale="80" zoomScaleNormal="80" workbookViewId="0">
      <selection activeCell="I21" sqref="I21"/>
    </sheetView>
  </sheetViews>
  <sheetFormatPr defaultColWidth="8.88671875" defaultRowHeight="14.4" x14ac:dyDescent="0.3"/>
  <cols>
    <col min="1" max="1" width="2.5546875" style="11" customWidth="1"/>
    <col min="2" max="2" width="20.44140625" style="11" customWidth="1"/>
    <col min="3" max="3" width="39.88671875" style="11" customWidth="1"/>
    <col min="4" max="4" width="30.5546875" style="11" customWidth="1"/>
    <col min="5" max="5" width="21.88671875" style="11" customWidth="1"/>
    <col min="6" max="12" width="28" style="11" customWidth="1"/>
    <col min="13" max="13" width="70.5546875" style="11" bestFit="1" customWidth="1"/>
    <col min="14" max="14" width="23.5546875" style="11" customWidth="1"/>
    <col min="15" max="15" width="16.44140625" style="11" customWidth="1"/>
    <col min="16" max="16384" width="8.88671875" style="11"/>
  </cols>
  <sheetData>
    <row r="1" spans="2:13" customFormat="1" x14ac:dyDescent="0.3"/>
    <row r="2" spans="2:13" customFormat="1" ht="24" thickBot="1" x14ac:dyDescent="0.5">
      <c r="B2" s="3" t="s">
        <v>1037</v>
      </c>
      <c r="C2" s="3"/>
      <c r="D2" s="3"/>
    </row>
    <row r="3" spans="2:13" customFormat="1" ht="23.4" x14ac:dyDescent="0.45">
      <c r="B3" s="4"/>
      <c r="C3" s="4"/>
    </row>
    <row r="4" spans="2:13" customFormat="1" ht="23.4" x14ac:dyDescent="0.45">
      <c r="B4" s="944" t="s">
        <v>1038</v>
      </c>
      <c r="C4" s="944"/>
      <c r="D4" s="945"/>
      <c r="E4" s="945"/>
      <c r="F4" s="945"/>
      <c r="G4" s="945"/>
      <c r="H4" s="945"/>
      <c r="I4" s="945"/>
      <c r="J4" s="945"/>
      <c r="K4" s="945"/>
      <c r="L4" s="945"/>
      <c r="M4" s="945"/>
    </row>
    <row r="5" spans="2:13" customFormat="1" ht="24" thickBot="1" x14ac:dyDescent="0.5">
      <c r="B5" s="946"/>
      <c r="C5" s="946"/>
      <c r="D5" s="947"/>
      <c r="E5" s="947"/>
      <c r="F5" s="947"/>
      <c r="G5" s="947"/>
      <c r="H5" s="947"/>
      <c r="I5" s="947"/>
      <c r="J5" s="947"/>
      <c r="K5" s="947"/>
      <c r="L5" s="947"/>
      <c r="M5" s="947"/>
    </row>
    <row r="6" spans="2:13" ht="29.4" thickBot="1" x14ac:dyDescent="0.35">
      <c r="C6" s="950" t="s">
        <v>1039</v>
      </c>
      <c r="D6" s="951" t="s">
        <v>1040</v>
      </c>
    </row>
    <row r="7" spans="2:13" x14ac:dyDescent="0.3">
      <c r="C7" s="949" t="s">
        <v>66</v>
      </c>
      <c r="D7" s="971">
        <f>SUMIFS('1.1. Ind. mod. thermal prod. '!$F$13:$F$100,'1.1. Ind. mod. thermal prod. '!$D$13:$D$100,'7.1. LCT'!C7,'1.1. Ind. mod. thermal prod. '!$L$13:$L$100,"yes")</f>
        <v>1601</v>
      </c>
    </row>
    <row r="8" spans="2:13" x14ac:dyDescent="0.3">
      <c r="C8" s="948" t="s">
        <v>54</v>
      </c>
      <c r="D8" s="973">
        <f>SUMIFS('1.1. Ind. mod. thermal prod. '!$F$13:$F$100,'1.1. Ind. mod. thermal prod. '!$D$13:$D$100,'7.1. LCT'!C8,'1.1. Ind. mod. thermal prod. '!$L$13:$L$100,"yes")</f>
        <v>1562.3</v>
      </c>
    </row>
    <row r="9" spans="2:13" x14ac:dyDescent="0.3">
      <c r="C9" s="948" t="s">
        <v>57</v>
      </c>
      <c r="D9" s="973">
        <f>SUMIFS('1.1. Ind. mod. thermal prod. '!$F$13:$F$100,'1.1. Ind. mod. thermal prod. '!$D$13:$D$100,'7.1. LCT'!C9,'1.1. Ind. mod. thermal prod. '!$L$13:$L$100,"yes")</f>
        <v>659</v>
      </c>
    </row>
    <row r="10" spans="2:13" x14ac:dyDescent="0.3">
      <c r="C10" s="948" t="s">
        <v>59</v>
      </c>
      <c r="D10" s="973">
        <f>SUMIFS('1.1. Ind. mod. thermal prod. '!$F$13:$F$100,'1.1. Ind. mod. thermal prod. '!$D$13:$D$100,'7.1. LCT'!C10,'1.1. Ind. mod. thermal prod. '!$L$13:$L$100,"yes")</f>
        <v>0</v>
      </c>
    </row>
    <row r="11" spans="2:13" x14ac:dyDescent="0.3">
      <c r="C11" s="948" t="s">
        <v>102</v>
      </c>
      <c r="D11" s="973">
        <f>SUMIFS('1.1. Ind. mod. thermal prod. '!$F$13:$F$100,'1.1. Ind. mod. thermal prod. '!$D$13:$D$100,'7.1. LCT'!C11,'1.1. Ind. mod. thermal prod. '!$L$13:$L$100,"yes")</f>
        <v>599</v>
      </c>
    </row>
    <row r="12" spans="2:13" x14ac:dyDescent="0.3">
      <c r="C12" s="948" t="s">
        <v>198</v>
      </c>
      <c r="D12" s="973">
        <f>SUMIFS('1.1. Ind. mod. thermal prod. '!$F$13:$F$100,'1.1. Ind. mod. thermal prod. '!$D$13:$D$100,'7.1. LCT'!C12,'1.1. Ind. mod. thermal prod. '!$L$13:$L$100,"yes")</f>
        <v>0</v>
      </c>
    </row>
    <row r="13" spans="2:13" x14ac:dyDescent="0.3">
      <c r="C13" s="948" t="s">
        <v>72</v>
      </c>
      <c r="D13" s="973">
        <f>SUMIFS('1.1. Ind. mod. thermal prod. '!$F$13:$F$100,'1.1. Ind. mod. thermal prod. '!$D$13:$D$100,'7.1. LCT'!C13,'1.1. Ind. mod. thermal prod. '!$L$13:$L$100,"yes")</f>
        <v>284.39999999999998</v>
      </c>
    </row>
    <row r="14" spans="2:13" x14ac:dyDescent="0.3">
      <c r="C14" s="948" t="s">
        <v>87</v>
      </c>
      <c r="D14" s="973">
        <f>SUMIFS('1.1. Ind. mod. thermal prod. '!$F$13:$F$100,'1.1. Ind. mod. thermal prod. '!$D$13:$D$100,'7.1. LCT'!C14,'1.1. Ind. mod. thermal prod. '!$L$13:$L$100,"yes")</f>
        <v>3929</v>
      </c>
    </row>
    <row r="15" spans="2:13" x14ac:dyDescent="0.3">
      <c r="C15" s="948" t="s">
        <v>49</v>
      </c>
      <c r="D15" s="973">
        <f>SUMIFS('1.1. Ind. mod. thermal prod. '!$F$13:$F$100,'1.1. Ind. mod. thermal prod. '!$D$13:$D$100,'7.1. LCT'!C15,'1.1. Ind. mod. thermal prod. '!$L$13:$L$100,"yes")</f>
        <v>140</v>
      </c>
    </row>
    <row r="16" spans="2:13" x14ac:dyDescent="0.3">
      <c r="C16" s="948" t="s">
        <v>77</v>
      </c>
      <c r="D16" s="973">
        <f>SUMIFS('1.1. Ind. mod. thermal prod. '!$F$13:$F$100,'1.1. Ind. mod. thermal prod. '!$D$13:$D$100,'7.1. LCT'!C16,'1.1. Ind. mod. thermal prod. '!$L$13:$L$100,"yes")</f>
        <v>940.3</v>
      </c>
    </row>
    <row r="18" spans="2:13" customFormat="1" ht="23.4" x14ac:dyDescent="0.45">
      <c r="B18" s="944" t="s">
        <v>1041</v>
      </c>
      <c r="C18" s="944"/>
      <c r="D18" s="945"/>
      <c r="E18" s="945"/>
      <c r="F18" s="945"/>
      <c r="G18" s="945"/>
      <c r="H18" s="945"/>
      <c r="I18" s="945"/>
      <c r="J18" s="945"/>
      <c r="K18" s="945"/>
      <c r="L18" s="945"/>
      <c r="M18" s="945"/>
    </row>
    <row r="19" spans="2:13" ht="15" thickBot="1" x14ac:dyDescent="0.35"/>
    <row r="20" spans="2:13" ht="29.4" thickBot="1" x14ac:dyDescent="0.35">
      <c r="C20" s="950" t="s">
        <v>1039</v>
      </c>
      <c r="D20" s="951" t="s">
        <v>1040</v>
      </c>
    </row>
    <row r="21" spans="2:13" x14ac:dyDescent="0.3">
      <c r="C21" s="953" t="str">
        <f>'1.2. Renewable and non-CIPU'!C9</f>
        <v>Wind onshore</v>
      </c>
      <c r="D21" s="954">
        <f>'1.2. Renewable and non-CIPU'!G9</f>
        <v>3584</v>
      </c>
    </row>
    <row r="22" spans="2:13" x14ac:dyDescent="0.3">
      <c r="C22" s="953" t="str">
        <f>'1.2. Renewable and non-CIPU'!C10</f>
        <v>Wind offshore</v>
      </c>
      <c r="D22" s="954">
        <f>'1.2. Renewable and non-CIPU'!G10</f>
        <v>2260</v>
      </c>
    </row>
    <row r="23" spans="2:13" x14ac:dyDescent="0.3">
      <c r="C23" s="953" t="str">
        <f>'1.2. Renewable and non-CIPU'!C12</f>
        <v>Photovoltaics</v>
      </c>
      <c r="D23" s="954">
        <f>'1.2. Renewable and non-CIPU'!G12</f>
        <v>9300</v>
      </c>
    </row>
    <row r="24" spans="2:13" x14ac:dyDescent="0.3">
      <c r="C24" s="953" t="str">
        <f>'1.2. Renewable and non-CIPU'!C14</f>
        <v>Hydro RoR</v>
      </c>
      <c r="D24" s="954">
        <f>'1.2. Renewable and non-CIPU'!G14</f>
        <v>133</v>
      </c>
    </row>
    <row r="25" spans="2:13" x14ac:dyDescent="0.3">
      <c r="C25" s="953" t="str">
        <f>'1.2. Renewable and non-CIPU'!C16</f>
        <v>Gas CHP - non-CIPU</v>
      </c>
      <c r="D25" s="954">
        <f>'1.2. Renewable and non-CIPU'!G16</f>
        <v>1396</v>
      </c>
    </row>
    <row r="26" spans="2:13" x14ac:dyDescent="0.3">
      <c r="C26" s="953" t="str">
        <f>'1.2. Renewable and non-CIPU'!C20</f>
        <v>Biomass - non-CIPU</v>
      </c>
      <c r="D26" s="954">
        <f>'1.2. Renewable and non-CIPU'!G20</f>
        <v>534</v>
      </c>
    </row>
    <row r="27" spans="2:13" x14ac:dyDescent="0.3">
      <c r="C27" s="953" t="str">
        <f>'1.2. Renewable and non-CIPU'!C22</f>
        <v>Waste - non-CIPU</v>
      </c>
      <c r="D27" s="954">
        <f>'1.2. Renewable and non-CIPU'!G22</f>
        <v>48</v>
      </c>
    </row>
    <row r="29" spans="2:13" customFormat="1" ht="23.4" x14ac:dyDescent="0.45">
      <c r="B29" s="944" t="s">
        <v>1042</v>
      </c>
      <c r="C29" s="944"/>
      <c r="D29" s="945"/>
      <c r="E29" s="945"/>
      <c r="F29" s="945"/>
      <c r="G29" s="945"/>
      <c r="H29" s="945"/>
      <c r="I29" s="945"/>
      <c r="J29" s="945"/>
      <c r="K29" s="945"/>
      <c r="L29" s="945"/>
      <c r="M29" s="945"/>
    </row>
    <row r="31" spans="2:13" x14ac:dyDescent="0.3">
      <c r="C31" s="912" t="s">
        <v>1042</v>
      </c>
      <c r="D31" s="921">
        <f>'2.1. Tot. elec. demand'!I32</f>
        <v>86.978727054678927</v>
      </c>
    </row>
    <row r="32" spans="2:13" x14ac:dyDescent="0.3">
      <c r="D32" s="913"/>
    </row>
    <row r="33" spans="2:18" customFormat="1" ht="23.4" x14ac:dyDescent="0.45">
      <c r="B33" s="944" t="s">
        <v>1043</v>
      </c>
      <c r="C33" s="944"/>
      <c r="D33" s="945"/>
      <c r="E33" s="945"/>
      <c r="F33" s="945"/>
      <c r="G33" s="945"/>
      <c r="H33" s="945"/>
      <c r="I33" s="945"/>
      <c r="J33" s="945"/>
      <c r="K33" s="945"/>
      <c r="L33" s="945"/>
      <c r="M33" s="945"/>
    </row>
    <row r="34" spans="2:18" ht="23.4" x14ac:dyDescent="0.45">
      <c r="C34" s="956" t="s">
        <v>1043</v>
      </c>
      <c r="D34" s="956"/>
      <c r="E34" s="957"/>
      <c r="F34" s="957"/>
      <c r="G34" s="957"/>
      <c r="H34" s="957"/>
      <c r="I34" s="957"/>
      <c r="J34" s="957"/>
      <c r="K34" s="957"/>
      <c r="L34" s="957"/>
      <c r="M34" s="957"/>
      <c r="N34" s="947"/>
    </row>
    <row r="35" spans="2:18" ht="16.5" customHeight="1" thickBot="1" x14ac:dyDescent="0.5">
      <c r="C35" s="958"/>
      <c r="D35" s="958"/>
      <c r="E35" s="29"/>
      <c r="F35" s="29"/>
      <c r="G35" s="29"/>
      <c r="H35" s="29"/>
      <c r="I35" s="29"/>
      <c r="J35" s="29"/>
      <c r="K35" s="29"/>
      <c r="L35" s="29"/>
      <c r="M35" s="29"/>
      <c r="N35" s="947"/>
    </row>
    <row r="36" spans="2:18" ht="15" thickBot="1" x14ac:dyDescent="0.35">
      <c r="C36" s="1227" t="s">
        <v>1044</v>
      </c>
      <c r="D36" s="967" t="s">
        <v>384</v>
      </c>
      <c r="E36" s="966">
        <f t="shared" ref="E36" si="0">E37+E38</f>
        <v>1278</v>
      </c>
    </row>
    <row r="37" spans="2:18" x14ac:dyDescent="0.3">
      <c r="C37" s="1228"/>
      <c r="D37" s="117" t="s">
        <v>385</v>
      </c>
      <c r="E37" s="115">
        <v>1134</v>
      </c>
    </row>
    <row r="38" spans="2:18" ht="15" thickBot="1" x14ac:dyDescent="0.35">
      <c r="C38" s="1229"/>
      <c r="D38" s="118" t="s">
        <v>386</v>
      </c>
      <c r="E38" s="116">
        <v>144</v>
      </c>
    </row>
    <row r="39" spans="2:18" ht="15" thickBot="1" x14ac:dyDescent="0.35">
      <c r="C39" s="256"/>
      <c r="D39"/>
      <c r="E39" s="37"/>
      <c r="F39" s="37"/>
      <c r="G39" s="37"/>
      <c r="H39" s="37"/>
      <c r="I39" s="37"/>
      <c r="J39" s="37"/>
      <c r="K39" s="37"/>
      <c r="L39" s="37"/>
      <c r="M39" s="37"/>
      <c r="N39" s="37"/>
      <c r="O39" s="37"/>
      <c r="P39" s="37"/>
      <c r="Q39" s="37"/>
      <c r="R39" s="37"/>
    </row>
    <row r="40" spans="2:18" ht="29.4" thickBot="1" x14ac:dyDescent="0.35">
      <c r="C40" s="1227" t="s">
        <v>387</v>
      </c>
      <c r="D40" s="965" t="s">
        <v>389</v>
      </c>
      <c r="E40" s="966">
        <v>5800</v>
      </c>
      <c r="F40" s="37"/>
      <c r="G40" s="37"/>
      <c r="H40" s="37"/>
      <c r="I40" s="37"/>
      <c r="J40" s="37"/>
      <c r="K40" s="37"/>
      <c r="L40" s="37"/>
      <c r="M40" s="37"/>
      <c r="N40" s="37"/>
      <c r="O40" s="37"/>
      <c r="P40" s="37"/>
      <c r="Q40" s="37"/>
      <c r="R40" s="37"/>
    </row>
    <row r="41" spans="2:18" x14ac:dyDescent="0.3">
      <c r="C41" s="1228"/>
      <c r="D41" s="117" t="s">
        <v>390</v>
      </c>
      <c r="E41" s="420">
        <v>6300</v>
      </c>
      <c r="F41" s="37"/>
      <c r="G41" s="37"/>
      <c r="H41" s="37"/>
      <c r="I41" s="37"/>
      <c r="J41" s="37"/>
      <c r="K41" s="37"/>
      <c r="L41" s="37"/>
      <c r="M41" s="37"/>
      <c r="N41" s="37"/>
      <c r="O41" s="37"/>
      <c r="P41" s="37"/>
      <c r="Q41" s="37"/>
      <c r="R41" s="37"/>
    </row>
    <row r="42" spans="2:18" ht="29.4" thickBot="1" x14ac:dyDescent="0.35">
      <c r="C42" s="1229"/>
      <c r="D42" s="959" t="s">
        <v>391</v>
      </c>
      <c r="E42" s="960">
        <v>500</v>
      </c>
      <c r="F42" s="37"/>
      <c r="G42" s="37"/>
      <c r="H42" s="37"/>
      <c r="I42" s="37"/>
      <c r="J42" s="37"/>
      <c r="K42" s="37"/>
      <c r="L42" s="37"/>
      <c r="M42" s="37"/>
      <c r="N42" s="37"/>
      <c r="O42" s="37"/>
      <c r="P42" s="37"/>
      <c r="Q42" s="37"/>
      <c r="R42" s="37"/>
    </row>
    <row r="43" spans="2:18" x14ac:dyDescent="0.3">
      <c r="C43" s="256"/>
      <c r="D43"/>
      <c r="E43" s="37"/>
      <c r="F43" s="37"/>
      <c r="G43" s="37"/>
      <c r="H43" s="37"/>
      <c r="I43" s="37"/>
      <c r="J43" s="37"/>
      <c r="K43" s="37"/>
      <c r="L43" s="37"/>
      <c r="M43" s="37"/>
      <c r="N43" s="37"/>
      <c r="O43" s="37"/>
      <c r="P43" s="37"/>
      <c r="Q43" s="37"/>
      <c r="R43" s="37"/>
    </row>
    <row r="44" spans="2:18" ht="23.4" x14ac:dyDescent="0.45">
      <c r="C44" s="956" t="s">
        <v>1045</v>
      </c>
      <c r="D44" s="956"/>
      <c r="E44" s="957"/>
      <c r="F44" s="957"/>
      <c r="G44" s="957"/>
      <c r="H44" s="957"/>
      <c r="I44" s="957"/>
      <c r="J44" s="957"/>
      <c r="K44" s="957"/>
      <c r="L44" s="957"/>
      <c r="M44" s="957"/>
      <c r="N44" s="37"/>
      <c r="O44" s="37"/>
      <c r="P44" s="37"/>
      <c r="Q44" s="37"/>
      <c r="R44" s="37"/>
    </row>
    <row r="45" spans="2:18" ht="15" thickBot="1" x14ac:dyDescent="0.35">
      <c r="C45" s="256"/>
      <c r="D45"/>
      <c r="E45" s="37"/>
      <c r="F45" s="37"/>
      <c r="G45" s="37"/>
      <c r="H45" s="37"/>
      <c r="I45" s="37"/>
      <c r="J45" s="37"/>
      <c r="K45" s="37"/>
      <c r="L45" s="37"/>
      <c r="M45" s="37"/>
      <c r="N45" s="37"/>
      <c r="O45" s="37"/>
      <c r="P45" s="37"/>
      <c r="Q45" s="37"/>
      <c r="R45" s="37"/>
    </row>
    <row r="46" spans="2:18" ht="15" thickBot="1" x14ac:dyDescent="0.35">
      <c r="C46" s="968" t="s">
        <v>396</v>
      </c>
      <c r="D46" s="969"/>
      <c r="E46" s="970">
        <v>540</v>
      </c>
      <c r="F46" s="37"/>
      <c r="G46" s="37"/>
      <c r="H46" s="37"/>
      <c r="I46" s="37"/>
      <c r="J46" s="37"/>
      <c r="K46" s="37"/>
      <c r="L46" s="37"/>
      <c r="M46" s="37"/>
      <c r="N46" s="37"/>
      <c r="O46" s="37"/>
      <c r="P46" s="37"/>
      <c r="Q46" s="37"/>
      <c r="R46" s="37"/>
    </row>
    <row r="47" spans="2:18" x14ac:dyDescent="0.3">
      <c r="C47" s="1230" t="s">
        <v>397</v>
      </c>
      <c r="D47" s="121" t="s">
        <v>398</v>
      </c>
      <c r="E47" s="962">
        <v>52</v>
      </c>
      <c r="F47" s="37"/>
      <c r="G47" s="37"/>
      <c r="H47" s="37"/>
      <c r="I47" s="37"/>
      <c r="J47" s="37"/>
      <c r="K47" s="37"/>
      <c r="L47" s="37"/>
      <c r="M47" s="37"/>
      <c r="N47" s="37"/>
      <c r="O47" s="37"/>
      <c r="P47" s="37"/>
      <c r="Q47" s="37"/>
      <c r="R47" s="37"/>
    </row>
    <row r="48" spans="2:18" ht="15" thickBot="1" x14ac:dyDescent="0.35">
      <c r="C48" s="1231"/>
      <c r="D48" s="119" t="s">
        <v>399</v>
      </c>
      <c r="E48" s="963">
        <v>488</v>
      </c>
      <c r="F48" s="37"/>
      <c r="G48" s="37"/>
      <c r="H48" s="37"/>
      <c r="I48" s="37"/>
      <c r="J48" s="37"/>
      <c r="K48" s="37"/>
      <c r="L48" s="37"/>
      <c r="M48" s="37"/>
      <c r="N48" s="37"/>
      <c r="O48" s="37"/>
      <c r="P48" s="37"/>
      <c r="Q48" s="37"/>
      <c r="R48" s="37"/>
    </row>
    <row r="49" spans="2:18" ht="15" thickBot="1" x14ac:dyDescent="0.35">
      <c r="C49" s="968" t="s">
        <v>400</v>
      </c>
      <c r="D49" s="969"/>
      <c r="E49" s="970">
        <v>1836</v>
      </c>
      <c r="F49" s="37"/>
      <c r="G49" s="37"/>
      <c r="H49" s="37"/>
      <c r="I49" s="37"/>
      <c r="J49" s="37"/>
      <c r="K49" s="37"/>
      <c r="L49" s="37"/>
      <c r="M49" s="37"/>
      <c r="N49" s="37"/>
      <c r="O49" s="37"/>
      <c r="P49" s="37"/>
      <c r="Q49" s="37"/>
      <c r="R49" s="37"/>
    </row>
    <row r="50" spans="2:18" x14ac:dyDescent="0.3">
      <c r="C50" s="1230" t="s">
        <v>401</v>
      </c>
      <c r="D50" s="121" t="s">
        <v>402</v>
      </c>
      <c r="E50" s="962">
        <v>177</v>
      </c>
      <c r="F50" s="37"/>
      <c r="G50" s="37"/>
      <c r="H50" s="37"/>
      <c r="I50" s="37"/>
      <c r="J50" s="37"/>
      <c r="K50" s="37"/>
      <c r="L50" s="37"/>
      <c r="M50" s="37"/>
      <c r="N50" s="37"/>
      <c r="O50" s="37"/>
      <c r="P50" s="37"/>
      <c r="Q50" s="37"/>
      <c r="R50" s="37"/>
    </row>
    <row r="51" spans="2:18" ht="15" thickBot="1" x14ac:dyDescent="0.35">
      <c r="C51" s="1232" t="s">
        <v>403</v>
      </c>
      <c r="D51" s="276" t="s">
        <v>399</v>
      </c>
      <c r="E51" s="964">
        <v>1659</v>
      </c>
      <c r="F51" s="37"/>
      <c r="G51" s="37"/>
      <c r="H51" s="37"/>
      <c r="I51" s="37"/>
      <c r="J51" s="37"/>
      <c r="K51" s="37"/>
      <c r="L51" s="37"/>
      <c r="M51" s="37"/>
      <c r="N51" s="37"/>
      <c r="O51" s="37"/>
      <c r="P51" s="37"/>
      <c r="Q51" s="37"/>
      <c r="R51" s="37"/>
    </row>
    <row r="52" spans="2:18" x14ac:dyDescent="0.3">
      <c r="C52" s="256"/>
      <c r="D52"/>
      <c r="E52" s="37"/>
      <c r="F52" s="37"/>
      <c r="G52" s="37"/>
      <c r="H52" s="37"/>
      <c r="I52" s="37"/>
      <c r="J52" s="37"/>
      <c r="K52" s="37"/>
      <c r="L52" s="37"/>
      <c r="M52" s="37"/>
      <c r="N52" s="37"/>
      <c r="O52" s="37"/>
      <c r="P52" s="37"/>
      <c r="Q52" s="37"/>
      <c r="R52" s="37"/>
    </row>
    <row r="53" spans="2:18" ht="23.4" x14ac:dyDescent="0.45">
      <c r="C53" s="956" t="s">
        <v>1046</v>
      </c>
      <c r="D53" s="956"/>
      <c r="E53" s="957"/>
      <c r="F53" s="957"/>
      <c r="G53" s="957"/>
      <c r="H53" s="957"/>
      <c r="I53" s="957"/>
      <c r="J53" s="957"/>
      <c r="K53" s="957"/>
      <c r="L53" s="957"/>
      <c r="M53" s="957"/>
      <c r="N53" s="37"/>
      <c r="O53" s="37"/>
      <c r="P53" s="37"/>
      <c r="Q53" s="37"/>
      <c r="R53" s="37"/>
    </row>
    <row r="54" spans="2:18" ht="15" thickBot="1" x14ac:dyDescent="0.35">
      <c r="C54" s="256"/>
      <c r="D54"/>
      <c r="E54" s="37"/>
      <c r="F54" s="37"/>
      <c r="G54" s="37"/>
      <c r="H54" s="37"/>
      <c r="I54" s="37"/>
      <c r="J54" s="37"/>
      <c r="K54" s="37"/>
      <c r="L54" s="37"/>
      <c r="M54" s="37"/>
      <c r="N54" s="37"/>
      <c r="O54" s="37"/>
      <c r="P54" s="37"/>
      <c r="Q54" s="37"/>
      <c r="R54" s="37"/>
    </row>
    <row r="55" spans="2:18" ht="15" thickBot="1" x14ac:dyDescent="0.35">
      <c r="C55" s="968" t="s">
        <v>396</v>
      </c>
      <c r="D55" s="969"/>
      <c r="E55" s="961">
        <v>308</v>
      </c>
      <c r="F55" s="37"/>
      <c r="G55" s="37"/>
      <c r="H55" s="37"/>
      <c r="I55" s="37"/>
      <c r="J55" s="37"/>
      <c r="K55" s="37"/>
      <c r="L55" s="37"/>
      <c r="M55" s="37"/>
      <c r="N55" s="37"/>
      <c r="O55" s="37"/>
      <c r="P55" s="37"/>
      <c r="Q55" s="37"/>
      <c r="R55" s="37"/>
    </row>
    <row r="56" spans="2:18" ht="15" thickBot="1" x14ac:dyDescent="0.35">
      <c r="C56" s="968" t="s">
        <v>400</v>
      </c>
      <c r="D56" s="969"/>
      <c r="E56" s="961">
        <v>616</v>
      </c>
      <c r="F56" s="37"/>
      <c r="G56" s="37"/>
      <c r="H56" s="37"/>
      <c r="I56" s="37"/>
      <c r="J56" s="37"/>
      <c r="K56" s="37"/>
      <c r="L56" s="37"/>
      <c r="M56" s="37"/>
      <c r="N56" s="37"/>
      <c r="O56" s="37"/>
      <c r="P56" s="37"/>
      <c r="Q56" s="37"/>
      <c r="R56" s="37"/>
    </row>
    <row r="57" spans="2:18" x14ac:dyDescent="0.3">
      <c r="C57" s="256"/>
      <c r="D57"/>
      <c r="E57" s="37"/>
      <c r="F57" s="37"/>
      <c r="G57" s="37"/>
      <c r="H57" s="37"/>
      <c r="I57" s="37"/>
      <c r="J57" s="37"/>
      <c r="K57" s="37"/>
      <c r="L57" s="37"/>
      <c r="M57" s="37"/>
      <c r="N57" s="37"/>
      <c r="O57" s="37"/>
      <c r="P57" s="37"/>
      <c r="Q57" s="37"/>
      <c r="R57" s="37"/>
    </row>
    <row r="58" spans="2:18" customFormat="1" ht="23.4" x14ac:dyDescent="0.45">
      <c r="B58" s="944" t="s">
        <v>1047</v>
      </c>
      <c r="C58" s="944"/>
      <c r="D58" s="945"/>
      <c r="E58" s="945"/>
      <c r="F58" s="945"/>
      <c r="G58" s="945"/>
      <c r="H58" s="945"/>
      <c r="I58" s="945"/>
      <c r="J58" s="945"/>
      <c r="K58" s="945"/>
      <c r="L58" s="945"/>
      <c r="M58" s="945"/>
    </row>
    <row r="59" spans="2:18" ht="15" thickBot="1" x14ac:dyDescent="0.35">
      <c r="C59" s="955"/>
      <c r="D59" s="29"/>
      <c r="E59" s="39"/>
      <c r="F59" s="39"/>
      <c r="G59" s="39"/>
      <c r="H59" s="39"/>
      <c r="I59" s="39"/>
      <c r="J59" s="39"/>
      <c r="K59" s="39"/>
      <c r="L59" s="39"/>
      <c r="M59" s="39"/>
      <c r="N59" s="39"/>
      <c r="O59" s="39"/>
      <c r="P59" s="39"/>
      <c r="Q59" s="39"/>
      <c r="R59" s="39"/>
    </row>
    <row r="60" spans="2:18" ht="29.4" thickBot="1" x14ac:dyDescent="0.35">
      <c r="C60" s="950" t="s">
        <v>1039</v>
      </c>
      <c r="D60" s="951" t="s">
        <v>1040</v>
      </c>
      <c r="E60" s="39"/>
      <c r="F60" s="39"/>
      <c r="G60" s="39"/>
      <c r="H60" s="39"/>
      <c r="I60" s="39"/>
      <c r="J60" s="39"/>
      <c r="K60" s="39"/>
      <c r="L60" s="39"/>
      <c r="M60" s="39"/>
      <c r="N60" s="39"/>
      <c r="O60" s="39"/>
      <c r="P60" s="39"/>
      <c r="Q60" s="39"/>
      <c r="R60" s="39"/>
    </row>
    <row r="61" spans="2:18" x14ac:dyDescent="0.3">
      <c r="C61" s="949" t="str">
        <f>'3.2. DSR industry'!B12</f>
        <v>Existing DSR</v>
      </c>
      <c r="D61" s="971">
        <f>'3.2. DSR industry'!F11</f>
        <v>2098</v>
      </c>
      <c r="E61" s="39"/>
      <c r="F61" s="39"/>
      <c r="G61" s="39"/>
      <c r="H61" s="39"/>
      <c r="I61" s="39"/>
      <c r="J61" s="39"/>
      <c r="K61" s="39"/>
      <c r="L61" s="39"/>
      <c r="M61" s="39"/>
      <c r="N61" s="39"/>
      <c r="O61" s="39"/>
      <c r="P61" s="39"/>
      <c r="Q61" s="39"/>
      <c r="R61" s="39"/>
    </row>
    <row r="62" spans="2:18" x14ac:dyDescent="0.3">
      <c r="C62" s="949" t="str">
        <f>'3.2. DSR industry'!B13</f>
        <v>New potential DSR submitted to EVA - 25€/kW</v>
      </c>
      <c r="D62" s="971">
        <f>'3.2. DSR industry'!F12</f>
        <v>1798</v>
      </c>
      <c r="E62" s="39"/>
      <c r="F62" s="39"/>
      <c r="G62" s="39"/>
      <c r="H62" s="39"/>
      <c r="I62" s="39"/>
      <c r="J62" s="39"/>
      <c r="K62" s="39"/>
      <c r="L62" s="39"/>
      <c r="M62" s="39"/>
      <c r="N62" s="39"/>
      <c r="O62" s="39"/>
      <c r="P62" s="39"/>
      <c r="Q62" s="39"/>
      <c r="R62" s="39"/>
    </row>
    <row r="63" spans="2:18" x14ac:dyDescent="0.3">
      <c r="C63" s="949" t="str">
        <f>'3.2. DSR industry'!B14</f>
        <v>New potential DSR submitted to EVA - 50€/kW</v>
      </c>
      <c r="D63" s="971">
        <f>'3.2. DSR industry'!F13</f>
        <v>300</v>
      </c>
      <c r="E63" s="39"/>
      <c r="F63" s="39"/>
      <c r="G63" s="39"/>
      <c r="H63" s="39"/>
      <c r="I63" s="39"/>
      <c r="J63" s="39"/>
      <c r="K63" s="39"/>
      <c r="L63" s="39"/>
      <c r="M63" s="39"/>
      <c r="N63" s="39"/>
      <c r="O63" s="39"/>
      <c r="P63" s="39"/>
      <c r="Q63" s="39"/>
      <c r="R63" s="39"/>
    </row>
    <row r="64" spans="2:18" x14ac:dyDescent="0.3">
      <c r="C64" s="949" t="str">
        <f>'3.2. DSR industry'!B15</f>
        <v>New potential DSR submitted to EVA - 75€/kW</v>
      </c>
      <c r="D64" s="971">
        <f>'3.2. DSR industry'!F14</f>
        <v>0</v>
      </c>
      <c r="E64" s="39"/>
      <c r="F64" s="39"/>
      <c r="G64" s="39"/>
      <c r="H64" s="39"/>
      <c r="I64" s="39"/>
      <c r="J64" s="39"/>
      <c r="K64" s="39"/>
      <c r="L64" s="39"/>
      <c r="M64" s="39"/>
      <c r="N64" s="39"/>
      <c r="O64" s="39"/>
      <c r="P64" s="39"/>
      <c r="Q64" s="39"/>
      <c r="R64" s="39"/>
    </row>
    <row r="65" spans="2:18" ht="28.8" x14ac:dyDescent="0.3">
      <c r="C65" s="949" t="str">
        <f>'3.2. DSR industry'!B16</f>
        <v>New potential DSR submitted to EVA - 100€/kW</v>
      </c>
      <c r="D65" s="971">
        <f>'3.2. DSR industry'!F15</f>
        <v>0</v>
      </c>
      <c r="E65" s="39"/>
      <c r="F65" s="39"/>
      <c r="G65" s="39"/>
      <c r="H65" s="39"/>
      <c r="I65" s="39"/>
      <c r="J65" s="39"/>
      <c r="K65" s="39"/>
      <c r="L65" s="39"/>
      <c r="M65" s="39"/>
      <c r="N65" s="39"/>
      <c r="O65" s="39"/>
      <c r="P65" s="39"/>
      <c r="Q65" s="39"/>
      <c r="R65" s="39"/>
    </row>
    <row r="66" spans="2:18" x14ac:dyDescent="0.3">
      <c r="C66" s="949" t="str">
        <f>'3.2. DSR industry'!B18</f>
        <v>Existing DSR - Details in shedding capacity</v>
      </c>
      <c r="D66" s="971">
        <f>'3.2. DSR industry'!F17</f>
        <v>0</v>
      </c>
      <c r="E66" s="39"/>
      <c r="F66" s="39"/>
      <c r="G66" s="39"/>
      <c r="H66" s="39"/>
      <c r="I66" s="39"/>
      <c r="J66" s="39"/>
      <c r="K66" s="39"/>
      <c r="L66" s="39"/>
      <c r="M66" s="39"/>
      <c r="N66" s="39"/>
      <c r="O66" s="39"/>
      <c r="P66" s="39"/>
      <c r="Q66" s="39"/>
      <c r="R66" s="39"/>
    </row>
    <row r="67" spans="2:18" x14ac:dyDescent="0.3">
      <c r="C67" s="949" t="str">
        <f>'3.2. DSR industry'!B19</f>
        <v>Max use of 1 hour</v>
      </c>
      <c r="D67" s="971">
        <f>'3.2. DSR industry'!F18</f>
        <v>1798</v>
      </c>
      <c r="E67" s="39"/>
      <c r="F67" s="39"/>
      <c r="G67" s="39"/>
      <c r="H67" s="39"/>
      <c r="I67" s="39"/>
      <c r="J67" s="39"/>
      <c r="K67" s="39"/>
      <c r="L67" s="39"/>
      <c r="M67" s="39"/>
      <c r="N67" s="39"/>
      <c r="O67" s="39"/>
      <c r="P67" s="39"/>
      <c r="Q67" s="39"/>
      <c r="R67" s="39"/>
    </row>
    <row r="68" spans="2:18" x14ac:dyDescent="0.3">
      <c r="C68" s="949" t="str">
        <f>'3.2. DSR industry'!B20</f>
        <v>Max use of 2 hours</v>
      </c>
      <c r="D68" s="971">
        <f>'3.2. DSR industry'!F19</f>
        <v>130</v>
      </c>
      <c r="E68" s="39"/>
      <c r="F68" s="39"/>
      <c r="G68" s="39"/>
      <c r="H68" s="39"/>
      <c r="I68" s="39"/>
      <c r="J68" s="39"/>
    </row>
    <row r="69" spans="2:18" ht="15" customHeight="1" x14ac:dyDescent="0.3">
      <c r="B69" s="913"/>
      <c r="C69" s="949" t="str">
        <f>'3.2. DSR industry'!B21</f>
        <v>Max use of 4 hours*</v>
      </c>
      <c r="D69" s="971">
        <f>'3.2. DSR industry'!F20</f>
        <v>453</v>
      </c>
      <c r="E69" s="911"/>
    </row>
    <row r="70" spans="2:18" x14ac:dyDescent="0.3">
      <c r="B70" s="912"/>
      <c r="C70" s="949" t="str">
        <f>'3.2. DSR industry'!B22</f>
        <v>Max use of 8 hours</v>
      </c>
      <c r="D70" s="971">
        <f>'3.2. DSR industry'!F21</f>
        <v>634</v>
      </c>
      <c r="E70" s="21"/>
      <c r="F70" s="912"/>
    </row>
    <row r="71" spans="2:18" x14ac:dyDescent="0.3">
      <c r="B71" s="942"/>
      <c r="C71" s="949" t="str">
        <f>'3.2. DSR industry'!B23</f>
        <v>No limit</v>
      </c>
      <c r="D71" s="971">
        <f>'3.2. DSR industry'!F22</f>
        <v>388</v>
      </c>
      <c r="E71" s="70"/>
      <c r="G71" s="924"/>
    </row>
    <row r="72" spans="2:18" ht="28.8" x14ac:dyDescent="0.3">
      <c r="B72" s="942"/>
      <c r="C72" s="949" t="str">
        <f>'3.2. DSR industry'!B24</f>
        <v>* The  volume for ancillary services is included in the "max use of 4 hours" category</v>
      </c>
      <c r="D72" s="973">
        <f>'3.2. DSR industry'!F23</f>
        <v>193</v>
      </c>
      <c r="E72" s="70"/>
      <c r="G72" s="924"/>
    </row>
    <row r="73" spans="2:18" x14ac:dyDescent="0.3">
      <c r="B73" s="942"/>
      <c r="D73" s="972"/>
      <c r="E73" s="70"/>
      <c r="G73" s="924"/>
    </row>
    <row r="74" spans="2:18" customFormat="1" ht="23.4" x14ac:dyDescent="0.45">
      <c r="B74" s="944" t="s">
        <v>1048</v>
      </c>
      <c r="C74" s="944"/>
      <c r="D74" s="945"/>
      <c r="E74" s="945"/>
      <c r="F74" s="945"/>
      <c r="G74" s="945"/>
      <c r="H74" s="945"/>
      <c r="I74" s="945"/>
      <c r="J74" s="945"/>
      <c r="K74" s="945"/>
      <c r="L74" s="945"/>
      <c r="M74" s="945"/>
    </row>
    <row r="75" spans="2:18" ht="15" thickBot="1" x14ac:dyDescent="0.35">
      <c r="B75" s="942"/>
      <c r="D75" s="972"/>
      <c r="E75" s="70"/>
      <c r="G75" s="924"/>
    </row>
    <row r="76" spans="2:18" ht="29.4" thickBot="1" x14ac:dyDescent="0.35">
      <c r="B76" s="942"/>
      <c r="C76" s="950" t="s">
        <v>1039</v>
      </c>
      <c r="D76" s="951" t="s">
        <v>1040</v>
      </c>
      <c r="E76" s="914"/>
      <c r="G76" s="924"/>
    </row>
    <row r="77" spans="2:18" x14ac:dyDescent="0.3">
      <c r="B77" s="942"/>
      <c r="C77" s="949" t="str">
        <f>'4.1. Fuel and CO2 prices'!B20</f>
        <v>Gas TTF [€/MWh]</v>
      </c>
      <c r="D77" s="971">
        <f>'4.1. Fuel and CO2 prices'!E20</f>
        <v>103.23</v>
      </c>
      <c r="E77" s="21"/>
      <c r="G77" s="924"/>
    </row>
    <row r="78" spans="2:18" x14ac:dyDescent="0.3">
      <c r="B78" s="942"/>
      <c r="C78" s="949" t="str">
        <f>'4.1. Fuel and CO2 prices'!B21</f>
        <v>Gas NBP [€/MWh]</v>
      </c>
      <c r="D78" s="971">
        <f>'4.1. Fuel and CO2 prices'!E21</f>
        <v>105.07461779419326</v>
      </c>
      <c r="E78" s="915"/>
      <c r="G78" s="924"/>
    </row>
    <row r="79" spans="2:18" x14ac:dyDescent="0.3">
      <c r="B79" s="942"/>
      <c r="C79" s="949" t="str">
        <f>'4.1. Fuel and CO2 prices'!B22</f>
        <v>Coal ARA [€/MWh]</v>
      </c>
      <c r="D79" s="971">
        <f>'4.1. Fuel and CO2 prices'!E22</f>
        <v>26.509896000000005</v>
      </c>
      <c r="E79" s="21"/>
      <c r="G79" s="924"/>
    </row>
    <row r="80" spans="2:18" x14ac:dyDescent="0.3">
      <c r="B80" s="942"/>
      <c r="C80" s="949" t="str">
        <f>'4.1. Fuel and CO2 prices'!B23</f>
        <v>Oil [€/MWh]</v>
      </c>
      <c r="D80" s="971">
        <f>'4.1. Fuel and CO2 prices'!E23</f>
        <v>46.9366585856</v>
      </c>
      <c r="E80" s="914"/>
      <c r="G80" s="924"/>
    </row>
    <row r="81" spans="2:13" x14ac:dyDescent="0.3">
      <c r="B81" s="912"/>
      <c r="C81" s="949" t="str">
        <f>'4.1. Fuel and CO2 prices'!B24</f>
        <v>CO2 EUA [€/tCO2]</v>
      </c>
      <c r="D81" s="971">
        <f>'4.1. Fuel and CO2 prices'!E24</f>
        <v>83</v>
      </c>
      <c r="E81" s="916"/>
      <c r="G81" s="924"/>
    </row>
    <row r="82" spans="2:13" x14ac:dyDescent="0.3">
      <c r="C82" s="949" t="str">
        <f>'4.1. Fuel and CO2 prices'!B25</f>
        <v>CO2 UKA [€/tCO2]</v>
      </c>
      <c r="D82" s="971">
        <f>'4.1. Fuel and CO2 prices'!E25</f>
        <v>91.185000000000002</v>
      </c>
      <c r="E82" s="916"/>
      <c r="G82" s="924"/>
    </row>
    <row r="83" spans="2:13" ht="15" customHeight="1" x14ac:dyDescent="0.3">
      <c r="E83" s="916"/>
    </row>
    <row r="84" spans="2:13" customFormat="1" ht="23.4" x14ac:dyDescent="0.45">
      <c r="B84" s="944" t="s">
        <v>1049</v>
      </c>
      <c r="C84" s="944"/>
      <c r="D84" s="945"/>
      <c r="E84" s="945"/>
      <c r="F84" s="945"/>
      <c r="G84" s="945"/>
      <c r="H84" s="945"/>
      <c r="I84" s="945"/>
      <c r="J84" s="945"/>
      <c r="K84" s="945"/>
      <c r="L84" s="945"/>
      <c r="M84" s="945"/>
    </row>
    <row r="85" spans="2:13" ht="14.1" customHeight="1" x14ac:dyDescent="0.3">
      <c r="D85" s="919"/>
      <c r="E85" s="21"/>
    </row>
    <row r="86" spans="2:13" ht="14.1" customHeight="1" x14ac:dyDescent="0.3">
      <c r="B86" s="912"/>
      <c r="C86" s="62" t="s">
        <v>18</v>
      </c>
      <c r="D86" s="919"/>
      <c r="E86" s="914"/>
    </row>
    <row r="87" spans="2:13" ht="14.1" customHeight="1" x14ac:dyDescent="0.3">
      <c r="B87" s="912"/>
      <c r="D87" s="919"/>
      <c r="E87" s="914"/>
      <c r="F87" s="918"/>
    </row>
    <row r="88" spans="2:13" customFormat="1" ht="23.4" x14ac:dyDescent="0.45">
      <c r="B88" s="944" t="s">
        <v>1050</v>
      </c>
      <c r="C88" s="944"/>
      <c r="D88" s="945"/>
      <c r="E88" s="945"/>
      <c r="F88" s="945"/>
      <c r="G88" s="945"/>
      <c r="H88" s="945"/>
      <c r="I88" s="945"/>
      <c r="J88" s="945"/>
      <c r="K88" s="945"/>
      <c r="L88" s="945"/>
      <c r="M88" s="945"/>
    </row>
    <row r="89" spans="2:13" ht="15" thickBot="1" x14ac:dyDescent="0.35">
      <c r="B89" s="922"/>
      <c r="C89" s="25"/>
    </row>
    <row r="90" spans="2:13" ht="28.8" x14ac:dyDescent="0.3">
      <c r="B90" s="922"/>
      <c r="C90" s="974" t="s">
        <v>724</v>
      </c>
      <c r="D90" s="975" t="s">
        <v>725</v>
      </c>
      <c r="E90" s="975" t="s">
        <v>726</v>
      </c>
      <c r="F90" s="976" t="s">
        <v>727</v>
      </c>
    </row>
    <row r="91" spans="2:13" x14ac:dyDescent="0.3">
      <c r="B91" s="923"/>
      <c r="C91" s="41" t="s">
        <v>88</v>
      </c>
      <c r="D91" s="161" t="s">
        <v>728</v>
      </c>
      <c r="E91" s="162" t="s">
        <v>729</v>
      </c>
      <c r="F91" s="977" t="s">
        <v>730</v>
      </c>
    </row>
    <row r="92" spans="2:13" ht="14.4" customHeight="1" x14ac:dyDescent="0.3">
      <c r="B92" s="922"/>
      <c r="C92" s="41" t="s">
        <v>66</v>
      </c>
      <c r="D92" s="161">
        <v>9.4</v>
      </c>
      <c r="E92" s="162">
        <v>5.5E-2</v>
      </c>
      <c r="F92" s="977" t="s">
        <v>731</v>
      </c>
    </row>
    <row r="93" spans="2:13" ht="14.4" customHeight="1" x14ac:dyDescent="0.3">
      <c r="B93" s="922"/>
      <c r="C93" s="41" t="s">
        <v>655</v>
      </c>
      <c r="D93" s="161">
        <v>9.1999999999999993</v>
      </c>
      <c r="E93" s="162">
        <v>8.2000000000000003E-2</v>
      </c>
      <c r="F93" s="977" t="s">
        <v>732</v>
      </c>
    </row>
    <row r="94" spans="2:13" ht="14.4" customHeight="1" x14ac:dyDescent="0.3">
      <c r="B94" s="922"/>
      <c r="C94" s="41" t="s">
        <v>49</v>
      </c>
      <c r="D94" s="161">
        <v>3.2</v>
      </c>
      <c r="E94" s="162">
        <v>9.8000000000000004E-2</v>
      </c>
      <c r="F94" s="977" t="s">
        <v>733</v>
      </c>
    </row>
    <row r="95" spans="2:13" ht="14.4" customHeight="1" x14ac:dyDescent="0.3">
      <c r="B95" s="922"/>
      <c r="C95" s="41" t="s">
        <v>734</v>
      </c>
      <c r="D95" s="161">
        <v>2.9</v>
      </c>
      <c r="E95" s="162">
        <v>6.4000000000000001E-2</v>
      </c>
      <c r="F95" s="977" t="s">
        <v>735</v>
      </c>
    </row>
    <row r="96" spans="2:13" ht="14.4" customHeight="1" x14ac:dyDescent="0.3">
      <c r="B96" s="922"/>
      <c r="C96" s="41" t="s">
        <v>663</v>
      </c>
      <c r="D96" s="161">
        <v>6.7</v>
      </c>
      <c r="E96" s="162">
        <v>6.8000000000000005E-2</v>
      </c>
      <c r="F96" s="977" t="s">
        <v>736</v>
      </c>
    </row>
    <row r="97" spans="2:13" ht="14.4" customHeight="1" thickBot="1" x14ac:dyDescent="0.35">
      <c r="B97" s="922"/>
      <c r="C97" s="42" t="s">
        <v>737</v>
      </c>
      <c r="D97" s="583">
        <v>1.9</v>
      </c>
      <c r="E97" s="584">
        <v>6.7000000000000004E-2</v>
      </c>
      <c r="F97" s="978" t="s">
        <v>738</v>
      </c>
    </row>
    <row r="98" spans="2:13" x14ac:dyDescent="0.3">
      <c r="B98" s="922"/>
      <c r="C98" s="920"/>
    </row>
    <row r="99" spans="2:13" customFormat="1" ht="23.4" x14ac:dyDescent="0.45">
      <c r="B99" s="944" t="s">
        <v>1051</v>
      </c>
      <c r="C99" s="944"/>
      <c r="D99" s="945"/>
      <c r="E99" s="945"/>
      <c r="F99" s="945"/>
      <c r="G99" s="945"/>
      <c r="H99" s="945"/>
      <c r="I99" s="945"/>
      <c r="J99" s="945"/>
      <c r="K99" s="945"/>
      <c r="L99" s="945"/>
      <c r="M99" s="945"/>
    </row>
    <row r="100" spans="2:13" x14ac:dyDescent="0.3">
      <c r="B100" s="922"/>
      <c r="C100" s="924"/>
      <c r="F100" s="917"/>
    </row>
    <row r="101" spans="2:13" ht="15" thickBot="1" x14ac:dyDescent="0.35">
      <c r="C101" s="929" t="s">
        <v>943</v>
      </c>
      <c r="D101" s="930"/>
      <c r="E101" s="931">
        <v>2024</v>
      </c>
    </row>
    <row r="102" spans="2:13" x14ac:dyDescent="0.3">
      <c r="C102" s="932" t="s">
        <v>944</v>
      </c>
      <c r="D102" s="106"/>
      <c r="E102" s="933" t="s">
        <v>945</v>
      </c>
    </row>
    <row r="103" spans="2:13" x14ac:dyDescent="0.3">
      <c r="C103" s="934" t="s">
        <v>946</v>
      </c>
      <c r="D103" s="182"/>
      <c r="E103" s="935" t="s">
        <v>947</v>
      </c>
    </row>
    <row r="104" spans="2:13" x14ac:dyDescent="0.3">
      <c r="C104" s="936" t="s">
        <v>949</v>
      </c>
      <c r="D104" s="180"/>
      <c r="E104" s="935" t="s">
        <v>950</v>
      </c>
    </row>
    <row r="105" spans="2:13" ht="27.6" x14ac:dyDescent="0.3">
      <c r="C105" s="1225" t="s">
        <v>952</v>
      </c>
      <c r="D105" s="1193"/>
      <c r="E105" s="935" t="s">
        <v>953</v>
      </c>
    </row>
    <row r="106" spans="2:13" ht="41.4" x14ac:dyDescent="0.3">
      <c r="C106" s="1226" t="s">
        <v>955</v>
      </c>
      <c r="D106" s="1204"/>
      <c r="E106" s="937" t="s">
        <v>956</v>
      </c>
    </row>
    <row r="107" spans="2:13" ht="41.4" x14ac:dyDescent="0.3">
      <c r="C107" s="1226"/>
      <c r="D107" s="1204"/>
      <c r="E107" s="938" t="s">
        <v>958</v>
      </c>
    </row>
    <row r="108" spans="2:13" ht="55.2" x14ac:dyDescent="0.3">
      <c r="C108" s="1226"/>
      <c r="D108" s="1204"/>
      <c r="E108" s="939" t="s">
        <v>959</v>
      </c>
    </row>
    <row r="109" spans="2:13" ht="27.6" x14ac:dyDescent="0.3">
      <c r="C109" s="1225" t="s">
        <v>960</v>
      </c>
      <c r="D109" s="1193"/>
      <c r="E109" s="935" t="s">
        <v>961</v>
      </c>
    </row>
    <row r="110" spans="2:13" x14ac:dyDescent="0.3">
      <c r="C110" s="1222" t="s">
        <v>963</v>
      </c>
      <c r="D110" s="1209"/>
      <c r="E110" s="940" t="s">
        <v>964</v>
      </c>
    </row>
    <row r="111" spans="2:13" ht="27.6" x14ac:dyDescent="0.3">
      <c r="C111" s="1223" t="s">
        <v>965</v>
      </c>
      <c r="D111" s="1224"/>
      <c r="E111" s="941" t="s">
        <v>966</v>
      </c>
    </row>
    <row r="113" spans="2:13" customFormat="1" ht="23.4" x14ac:dyDescent="0.45">
      <c r="B113" s="944" t="s">
        <v>1052</v>
      </c>
      <c r="C113" s="944"/>
      <c r="D113" s="945"/>
      <c r="E113" s="945"/>
      <c r="F113" s="945"/>
      <c r="G113" s="945"/>
      <c r="H113" s="945"/>
      <c r="I113" s="945"/>
      <c r="J113" s="945"/>
      <c r="K113" s="945"/>
      <c r="L113" s="945"/>
      <c r="M113" s="945"/>
    </row>
    <row r="114" spans="2:13" ht="15" thickBot="1" x14ac:dyDescent="0.35"/>
    <row r="115" spans="2:13" ht="15" thickBot="1" x14ac:dyDescent="0.35">
      <c r="C115" s="981"/>
      <c r="D115" s="982"/>
      <c r="E115" s="983" t="s">
        <v>980</v>
      </c>
      <c r="F115" s="983" t="s">
        <v>978</v>
      </c>
      <c r="G115" s="983" t="s">
        <v>976</v>
      </c>
      <c r="H115" s="983" t="s">
        <v>1020</v>
      </c>
      <c r="I115" s="983" t="s">
        <v>1023</v>
      </c>
      <c r="J115" s="983" t="s">
        <v>1030</v>
      </c>
      <c r="K115" s="983" t="s">
        <v>1053</v>
      </c>
      <c r="L115" s="520" t="s">
        <v>1034</v>
      </c>
    </row>
    <row r="116" spans="2:13" x14ac:dyDescent="0.3">
      <c r="C116" s="980" t="str">
        <f>'6.1. Data for other countries'!C64</f>
        <v>Demand</v>
      </c>
      <c r="D116" s="984" t="str">
        <f>'6.1. Data for other countries'!D64</f>
        <v>Twh</v>
      </c>
      <c r="E116" s="971">
        <f>'6.1. Data for other countries'!G14</f>
        <v>480</v>
      </c>
      <c r="F116" s="971">
        <f>'6.1. Data for other countries'!G24</f>
        <v>574</v>
      </c>
      <c r="G116" s="971">
        <f>'6.1. Data for other countries'!G34</f>
        <v>124</v>
      </c>
      <c r="H116" s="971">
        <f>'6.1. Data for other countries'!G44</f>
        <v>291</v>
      </c>
      <c r="I116" s="971">
        <f>'6.1. Data for other countries'!G54</f>
        <v>259</v>
      </c>
      <c r="J116" s="971">
        <f>'6.1. Data for other countries'!G64</f>
        <v>329</v>
      </c>
      <c r="K116" s="971">
        <f>'6.1. Data for other countries'!G74</f>
        <v>167</v>
      </c>
      <c r="L116" s="971">
        <f>'6.1. Data for other countries'!G84</f>
        <v>40</v>
      </c>
    </row>
    <row r="117" spans="2:13" x14ac:dyDescent="0.3">
      <c r="C117" s="979" t="str">
        <f>'6.1. Data for other countries'!C65</f>
        <v>Onshore Wind</v>
      </c>
      <c r="D117" s="475" t="str">
        <f>'6.1. Data for other countries'!D65</f>
        <v>GW</v>
      </c>
      <c r="E117" s="973">
        <f>'6.1. Data for other countries'!G15</f>
        <v>18</v>
      </c>
      <c r="F117" s="973">
        <f>'6.1. Data for other countries'!G25</f>
        <v>55</v>
      </c>
      <c r="G117" s="973">
        <f>'6.1. Data for other countries'!G35</f>
        <v>9</v>
      </c>
      <c r="H117" s="973">
        <f>'6.1. Data for other countries'!G45</f>
        <v>17.3</v>
      </c>
      <c r="I117" s="973">
        <f>'6.1. Data for other countries'!G55</f>
        <v>34</v>
      </c>
      <c r="J117" s="973">
        <f>'6.1. Data for other countries'!G65</f>
        <v>14</v>
      </c>
      <c r="K117" s="973">
        <f>'6.1. Data for other countries'!G75</f>
        <v>11</v>
      </c>
      <c r="L117" s="973">
        <f>'6.1. Data for other countries'!G85</f>
        <v>5</v>
      </c>
    </row>
    <row r="118" spans="2:13" x14ac:dyDescent="0.3">
      <c r="C118" s="979" t="str">
        <f>'6.1. Data for other countries'!C66</f>
        <v>Offshore Wind</v>
      </c>
      <c r="D118" s="475" t="str">
        <f>'6.1. Data for other countries'!D66</f>
        <v>GW</v>
      </c>
      <c r="E118" s="973">
        <f>'6.1. Data for other countries'!G16</f>
        <v>2</v>
      </c>
      <c r="F118" s="973">
        <f>'6.1. Data for other countries'!G26</f>
        <v>11</v>
      </c>
      <c r="G118" s="973">
        <f>'6.1. Data for other countries'!G36</f>
        <v>6</v>
      </c>
      <c r="H118" s="973">
        <f>'6.1. Data for other countries'!G46</f>
        <v>21.9</v>
      </c>
      <c r="I118" s="973">
        <f>'6.1. Data for other countries'!G56</f>
        <v>0</v>
      </c>
      <c r="J118" s="973">
        <f>'6.1. Data for other countries'!G66</f>
        <v>1</v>
      </c>
      <c r="K118" s="973">
        <f>'6.1. Data for other countries'!G76</f>
        <v>0</v>
      </c>
      <c r="L118" s="973">
        <f>'6.1. Data for other countries'!G86</f>
        <v>3</v>
      </c>
    </row>
    <row r="119" spans="2:13" x14ac:dyDescent="0.3">
      <c r="C119" s="979" t="str">
        <f>'6.1. Data for other countries'!C67</f>
        <v>Solar</v>
      </c>
      <c r="D119" s="475" t="str">
        <f>'6.1. Data for other countries'!D67</f>
        <v>GW</v>
      </c>
      <c r="E119" s="973">
        <f>'6.1. Data for other countries'!G17</f>
        <v>18</v>
      </c>
      <c r="F119" s="973">
        <f>'6.1. Data for other countries'!G27</f>
        <v>88</v>
      </c>
      <c r="G119" s="973">
        <f>'6.1. Data for other countries'!G37</f>
        <v>31</v>
      </c>
      <c r="H119" s="973">
        <f>'6.1. Data for other countries'!G47</f>
        <v>19.100000000000001</v>
      </c>
      <c r="I119" s="973">
        <f>'6.1. Data for other countries'!G57</f>
        <v>29</v>
      </c>
      <c r="J119" s="973">
        <f>'6.1. Data for other countries'!G67</f>
        <v>39</v>
      </c>
      <c r="K119" s="973">
        <f>'6.1. Data for other countries'!G77</f>
        <v>17</v>
      </c>
      <c r="L119" s="973">
        <f>'6.1. Data for other countries'!G87</f>
        <v>6</v>
      </c>
    </row>
    <row r="120" spans="2:13" x14ac:dyDescent="0.3">
      <c r="C120" s="979" t="str">
        <f>'6.1. Data for other countries'!C68</f>
        <v>Coal</v>
      </c>
      <c r="D120" s="475" t="str">
        <f>'6.1. Data for other countries'!D68</f>
        <v>GW</v>
      </c>
      <c r="E120" s="973">
        <f>'6.1. Data for other countries'!G18</f>
        <v>0.4</v>
      </c>
      <c r="F120" s="973">
        <f>'6.1. Data for other countries'!G28</f>
        <v>22.6</v>
      </c>
      <c r="G120" s="973">
        <f>'6.1. Data for other countries'!G38</f>
        <v>0</v>
      </c>
      <c r="H120" s="973">
        <f>'6.1. Data for other countries'!G48</f>
        <v>0</v>
      </c>
      <c r="I120" s="973">
        <f>'6.1. Data for other countries'!G58</f>
        <v>0.5</v>
      </c>
      <c r="J120" s="973">
        <f>'6.1. Data for other countries'!G68</f>
        <v>0.5</v>
      </c>
      <c r="K120" s="973">
        <f>'6.1. Data for other countries'!G78</f>
        <v>21.2</v>
      </c>
      <c r="L120" s="973">
        <f>'6.1. Data for other countries'!G88</f>
        <v>0.4</v>
      </c>
    </row>
    <row r="121" spans="2:13" x14ac:dyDescent="0.3">
      <c r="C121" s="979" t="str">
        <f>'6.1. Data for other countries'!C69</f>
        <v>Nuclear</v>
      </c>
      <c r="D121" s="475" t="str">
        <f>'6.1. Data for other countries'!D69</f>
        <v>GW</v>
      </c>
      <c r="E121" s="973">
        <f>'6.1. Data for other countries'!G19</f>
        <v>61.8</v>
      </c>
      <c r="F121" s="973">
        <f>'6.1. Data for other countries'!G29</f>
        <v>0</v>
      </c>
      <c r="G121" s="973">
        <f>'6.1. Data for other countries'!G39</f>
        <v>0</v>
      </c>
      <c r="H121" s="973">
        <f>'6.1. Data for other countries'!G49</f>
        <v>3.6</v>
      </c>
      <c r="I121" s="973">
        <f>'6.1. Data for other countries'!G59</f>
        <v>7.1</v>
      </c>
      <c r="J121" s="973">
        <f>'6.1. Data for other countries'!G69</f>
        <v>0</v>
      </c>
      <c r="K121" s="973">
        <f>'6.1. Data for other countries'!G79</f>
        <v>0</v>
      </c>
      <c r="L121" s="973">
        <f>'6.1. Data for other countries'!G89</f>
        <v>0</v>
      </c>
    </row>
    <row r="122" spans="2:13" x14ac:dyDescent="0.3">
      <c r="E122" s="952"/>
      <c r="F122" s="952"/>
      <c r="G122" s="952"/>
      <c r="H122" s="952"/>
      <c r="I122" s="952"/>
      <c r="J122" s="952"/>
      <c r="K122" s="952"/>
      <c r="L122" s="952"/>
    </row>
    <row r="127" spans="2:13" x14ac:dyDescent="0.3">
      <c r="C127" s="912"/>
    </row>
    <row r="128" spans="2:13" x14ac:dyDescent="0.3">
      <c r="C128" s="62"/>
    </row>
    <row r="131" spans="6:16" x14ac:dyDescent="0.3">
      <c r="G131" s="926"/>
      <c r="H131" s="926"/>
      <c r="I131" s="926"/>
      <c r="J131" s="926"/>
      <c r="K131" s="926"/>
      <c r="L131" s="926"/>
      <c r="M131" s="926"/>
      <c r="N131" s="926"/>
      <c r="O131" s="926"/>
      <c r="P131" s="926"/>
    </row>
    <row r="132" spans="6:16" x14ac:dyDescent="0.3">
      <c r="F132" s="927"/>
      <c r="G132" s="927"/>
      <c r="H132" s="927"/>
      <c r="I132" s="927"/>
      <c r="J132" s="927"/>
      <c r="K132" s="927"/>
      <c r="L132" s="927"/>
      <c r="M132" s="927"/>
      <c r="N132" s="927"/>
      <c r="O132" s="927"/>
      <c r="P132" s="927"/>
    </row>
    <row r="133" spans="6:16" x14ac:dyDescent="0.3">
      <c r="F133" s="927"/>
      <c r="G133" s="927"/>
      <c r="H133" s="927"/>
      <c r="I133" s="927"/>
      <c r="J133" s="927"/>
      <c r="K133" s="927"/>
      <c r="L133" s="927"/>
      <c r="M133" s="927"/>
      <c r="N133" s="927"/>
      <c r="O133" s="927"/>
      <c r="P133" s="927"/>
    </row>
    <row r="134" spans="6:16" x14ac:dyDescent="0.3">
      <c r="F134" s="927"/>
      <c r="G134" s="927"/>
      <c r="H134" s="927"/>
      <c r="I134" s="927"/>
      <c r="J134" s="927"/>
      <c r="K134" s="927"/>
      <c r="L134" s="927"/>
      <c r="M134" s="927"/>
      <c r="N134" s="927"/>
      <c r="O134" s="927"/>
      <c r="P134" s="927"/>
    </row>
    <row r="135" spans="6:16" x14ac:dyDescent="0.3">
      <c r="F135" s="927"/>
      <c r="G135" s="928"/>
      <c r="H135" s="928"/>
      <c r="I135" s="928"/>
      <c r="J135" s="928"/>
      <c r="K135" s="928"/>
      <c r="L135" s="928"/>
      <c r="M135" s="928"/>
      <c r="N135" s="928"/>
      <c r="O135" s="928"/>
      <c r="P135" s="928"/>
    </row>
    <row r="136" spans="6:16" x14ac:dyDescent="0.3">
      <c r="F136" s="925"/>
      <c r="G136" s="925"/>
      <c r="H136" s="925"/>
      <c r="I136" s="925"/>
      <c r="J136" s="925"/>
      <c r="K136" s="925"/>
      <c r="L136" s="925"/>
      <c r="M136" s="925"/>
      <c r="N136" s="925"/>
      <c r="O136" s="925"/>
      <c r="P136" s="925"/>
    </row>
    <row r="137" spans="6:16" x14ac:dyDescent="0.3">
      <c r="F137" s="925"/>
      <c r="G137" s="925"/>
      <c r="H137" s="925"/>
      <c r="I137" s="925"/>
      <c r="J137" s="925"/>
      <c r="K137" s="925"/>
      <c r="L137" s="925"/>
      <c r="M137" s="925"/>
      <c r="N137" s="925"/>
      <c r="O137" s="925"/>
      <c r="P137" s="925"/>
    </row>
    <row r="138" spans="6:16" x14ac:dyDescent="0.3">
      <c r="F138" s="925"/>
      <c r="G138" s="925"/>
      <c r="H138" s="925"/>
      <c r="I138" s="925"/>
      <c r="J138" s="925"/>
      <c r="K138" s="925"/>
      <c r="L138" s="925"/>
      <c r="M138" s="925"/>
      <c r="N138" s="925"/>
      <c r="O138" s="925"/>
      <c r="P138" s="925"/>
    </row>
    <row r="139" spans="6:16" x14ac:dyDescent="0.3">
      <c r="F139" s="927"/>
      <c r="G139" s="927"/>
      <c r="H139" s="927"/>
      <c r="I139" s="927"/>
      <c r="J139" s="927"/>
      <c r="K139" s="927"/>
      <c r="L139" s="927"/>
      <c r="M139" s="927"/>
      <c r="N139" s="927"/>
      <c r="O139" s="927"/>
      <c r="P139" s="927"/>
    </row>
    <row r="140" spans="6:16" x14ac:dyDescent="0.3">
      <c r="F140" s="927"/>
      <c r="G140" s="927"/>
      <c r="H140" s="927"/>
      <c r="I140" s="927"/>
      <c r="J140" s="927"/>
      <c r="K140" s="927"/>
      <c r="L140" s="927"/>
      <c r="M140" s="927"/>
      <c r="N140" s="927"/>
      <c r="O140" s="927"/>
      <c r="P140" s="927"/>
    </row>
    <row r="141" spans="6:16" x14ac:dyDescent="0.3">
      <c r="F141" s="925"/>
      <c r="G141" s="925"/>
      <c r="H141" s="925"/>
      <c r="I141" s="925"/>
      <c r="J141" s="925"/>
      <c r="K141" s="925"/>
      <c r="L141" s="925"/>
      <c r="M141" s="925"/>
      <c r="N141" s="925"/>
      <c r="O141" s="925"/>
      <c r="P141" s="925"/>
    </row>
  </sheetData>
  <mergeCells count="9">
    <mergeCell ref="C110:D110"/>
    <mergeCell ref="C111:D111"/>
    <mergeCell ref="C105:D105"/>
    <mergeCell ref="C106:D108"/>
    <mergeCell ref="C36:C38"/>
    <mergeCell ref="C40:C42"/>
    <mergeCell ref="C47:C48"/>
    <mergeCell ref="C50:C51"/>
    <mergeCell ref="C109:D109"/>
  </mergeCells>
  <hyperlinks>
    <hyperlink ref="C86" location="'4.2. Investment costs'!A1" display="4.2. Investment costs"/>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114"/>
  <sheetViews>
    <sheetView showGridLines="0" zoomScale="20" zoomScaleNormal="20" workbookViewId="0">
      <selection activeCell="AA23" sqref="AA23"/>
    </sheetView>
  </sheetViews>
  <sheetFormatPr defaultColWidth="9.109375" defaultRowHeight="14.4" x14ac:dyDescent="0.3"/>
  <cols>
    <col min="1" max="1" width="2.5546875" customWidth="1"/>
    <col min="2" max="2" width="37.109375" customWidth="1"/>
    <col min="3" max="3" width="54.88671875" customWidth="1"/>
    <col min="4" max="4" width="12.5546875" customWidth="1"/>
    <col min="5" max="5" width="11.5546875" bestFit="1" customWidth="1"/>
    <col min="6" max="8" width="16" style="2" customWidth="1"/>
    <col min="9" max="9" width="79.88671875" style="2" customWidth="1"/>
    <col min="10" max="22" width="11.5546875" style="2" customWidth="1"/>
    <col min="23" max="23" width="190.5546875" style="2" customWidth="1"/>
  </cols>
  <sheetData>
    <row r="1" spans="1:23" ht="14.4" customHeight="1" x14ac:dyDescent="0.3">
      <c r="I1" s="50"/>
      <c r="J1" s="50"/>
      <c r="K1" s="50"/>
      <c r="L1" s="50"/>
      <c r="M1" s="50"/>
      <c r="N1" s="50"/>
      <c r="O1" s="50"/>
      <c r="P1" s="50"/>
      <c r="Q1" s="50"/>
      <c r="R1" s="50"/>
      <c r="S1" s="50"/>
      <c r="T1" s="50"/>
      <c r="U1" s="50"/>
    </row>
    <row r="2" spans="1:23" ht="24" customHeight="1" thickBot="1" x14ac:dyDescent="0.5">
      <c r="B2" s="3" t="s">
        <v>27</v>
      </c>
      <c r="C2" s="3"/>
      <c r="D2" s="4"/>
      <c r="I2" s="50"/>
      <c r="J2" s="50"/>
      <c r="K2" s="50"/>
      <c r="L2" s="50"/>
      <c r="M2" s="50"/>
      <c r="N2" s="50"/>
      <c r="O2" s="50"/>
      <c r="P2" s="50"/>
      <c r="Q2" s="50"/>
      <c r="R2" s="50"/>
      <c r="S2" s="50"/>
      <c r="T2" s="50"/>
      <c r="U2" s="50"/>
    </row>
    <row r="3" spans="1:23" ht="23.4" x14ac:dyDescent="0.45">
      <c r="B3" s="4"/>
      <c r="C3" s="4"/>
      <c r="D3" s="4"/>
      <c r="E3" s="4"/>
      <c r="I3" s="51"/>
    </row>
    <row r="4" spans="1:23" ht="24" thickBot="1" x14ac:dyDescent="0.5">
      <c r="B4" s="151" t="s">
        <v>28</v>
      </c>
      <c r="C4" s="4"/>
      <c r="D4" s="4"/>
      <c r="E4" s="4"/>
      <c r="F4" s="143"/>
      <c r="G4" s="143"/>
      <c r="H4" s="143"/>
      <c r="I4" s="144" t="s">
        <v>29</v>
      </c>
      <c r="W4" s="143"/>
    </row>
    <row r="5" spans="1:23" ht="23.4" x14ac:dyDescent="0.45">
      <c r="B5" s="152" t="s">
        <v>30</v>
      </c>
      <c r="C5" s="4"/>
      <c r="D5" s="4"/>
      <c r="E5" s="4"/>
      <c r="F5" s="143"/>
      <c r="G5" s="143"/>
      <c r="H5" s="143"/>
      <c r="I5" s="990" t="s">
        <v>31</v>
      </c>
      <c r="J5" s="991"/>
      <c r="K5" s="991"/>
      <c r="L5" s="991"/>
      <c r="M5" s="991"/>
      <c r="N5" s="992"/>
      <c r="W5" s="143"/>
    </row>
    <row r="6" spans="1:23" ht="23.4" customHeight="1" x14ac:dyDescent="0.3">
      <c r="B6" s="993" t="s">
        <v>32</v>
      </c>
      <c r="C6" s="993"/>
      <c r="D6" s="993"/>
      <c r="E6" s="993"/>
      <c r="F6" s="143"/>
      <c r="G6" s="143"/>
      <c r="H6" s="143"/>
      <c r="I6" s="994" t="s">
        <v>33</v>
      </c>
      <c r="J6" s="995"/>
      <c r="K6" s="995"/>
      <c r="L6" s="995"/>
      <c r="M6" s="995"/>
      <c r="N6" s="996"/>
      <c r="W6" s="143"/>
    </row>
    <row r="7" spans="1:23" ht="23.4" customHeight="1" x14ac:dyDescent="0.3">
      <c r="B7" s="993"/>
      <c r="C7" s="993"/>
      <c r="D7" s="993"/>
      <c r="E7" s="993"/>
      <c r="F7" s="143"/>
      <c r="G7" s="143"/>
      <c r="H7" s="143"/>
      <c r="I7" s="997" t="s">
        <v>34</v>
      </c>
      <c r="J7" s="998"/>
      <c r="K7" s="998"/>
      <c r="L7" s="998"/>
      <c r="M7" s="998"/>
      <c r="N7" s="999"/>
      <c r="W7" s="143"/>
    </row>
    <row r="8" spans="1:23" ht="23.4" x14ac:dyDescent="0.45">
      <c r="B8" s="4"/>
      <c r="C8" s="4"/>
      <c r="D8" s="4"/>
      <c r="E8" s="4"/>
      <c r="F8" s="143"/>
      <c r="G8" s="143"/>
      <c r="H8" s="143"/>
      <c r="I8" s="1000" t="s">
        <v>35</v>
      </c>
      <c r="J8" s="1001"/>
      <c r="K8" s="1001"/>
      <c r="L8" s="1001"/>
      <c r="M8" s="1001"/>
      <c r="N8" s="1002"/>
      <c r="W8" s="143"/>
    </row>
    <row r="9" spans="1:23" ht="24" thickBot="1" x14ac:dyDescent="0.5">
      <c r="B9" s="4"/>
      <c r="C9" s="4"/>
      <c r="D9" s="4"/>
      <c r="E9" s="4"/>
      <c r="F9" s="143"/>
      <c r="G9" s="143"/>
      <c r="H9" s="143"/>
      <c r="I9" s="1003" t="s">
        <v>36</v>
      </c>
      <c r="J9" s="1004"/>
      <c r="K9" s="1004"/>
      <c r="L9" s="1004"/>
      <c r="M9" s="1004"/>
      <c r="N9" s="1005"/>
      <c r="W9" s="143"/>
    </row>
    <row r="10" spans="1:23" ht="24" thickBot="1" x14ac:dyDescent="0.5">
      <c r="B10" s="4"/>
      <c r="C10" s="4"/>
      <c r="D10" s="4"/>
      <c r="E10" s="4"/>
      <c r="F10" s="143"/>
      <c r="G10" s="143"/>
      <c r="H10" s="143"/>
      <c r="I10" s="51"/>
      <c r="W10" s="143"/>
    </row>
    <row r="11" spans="1:23" ht="15" thickBot="1" x14ac:dyDescent="0.35">
      <c r="B11" s="20"/>
      <c r="C11" s="5"/>
      <c r="D11" s="5"/>
      <c r="E11" s="5"/>
      <c r="F11" s="104"/>
      <c r="G11" s="104"/>
      <c r="H11" s="104"/>
      <c r="I11" s="104"/>
      <c r="J11" s="987" t="s">
        <v>37</v>
      </c>
      <c r="K11" s="988"/>
      <c r="L11" s="988"/>
      <c r="M11" s="988"/>
      <c r="N11" s="988"/>
      <c r="O11" s="988"/>
      <c r="P11" s="988"/>
      <c r="Q11" s="988"/>
      <c r="R11" s="988"/>
      <c r="S11" s="988"/>
      <c r="T11" s="988"/>
      <c r="U11" s="988"/>
      <c r="V11" s="989"/>
      <c r="W11" s="357"/>
    </row>
    <row r="12" spans="1:23" ht="62.25" customHeight="1" thickBot="1" x14ac:dyDescent="0.35">
      <c r="B12" s="149" t="s">
        <v>38</v>
      </c>
      <c r="C12" s="130" t="s">
        <v>39</v>
      </c>
      <c r="D12" s="130" t="s">
        <v>40</v>
      </c>
      <c r="E12" s="130" t="s">
        <v>41</v>
      </c>
      <c r="F12" s="150" t="s">
        <v>42</v>
      </c>
      <c r="G12" s="150" t="s">
        <v>43</v>
      </c>
      <c r="H12" s="150" t="s">
        <v>44</v>
      </c>
      <c r="I12" s="150" t="s">
        <v>45</v>
      </c>
      <c r="J12" s="805">
        <v>2022</v>
      </c>
      <c r="K12" s="806">
        <v>2023</v>
      </c>
      <c r="L12" s="807">
        <v>2024</v>
      </c>
      <c r="M12" s="807">
        <v>2025</v>
      </c>
      <c r="N12" s="807">
        <v>2026</v>
      </c>
      <c r="O12" s="807">
        <v>2027</v>
      </c>
      <c r="P12" s="807">
        <v>2028</v>
      </c>
      <c r="Q12" s="807">
        <v>2029</v>
      </c>
      <c r="R12" s="807">
        <v>2030</v>
      </c>
      <c r="S12" s="807">
        <v>2031</v>
      </c>
      <c r="T12" s="807">
        <v>2032</v>
      </c>
      <c r="U12" s="807">
        <v>2033</v>
      </c>
      <c r="V12" s="808">
        <v>2034</v>
      </c>
      <c r="W12" s="388" t="s">
        <v>46</v>
      </c>
    </row>
    <row r="13" spans="1:23" ht="15" customHeight="1" x14ac:dyDescent="0.3">
      <c r="A13" s="53"/>
      <c r="B13" s="358" t="s">
        <v>47</v>
      </c>
      <c r="C13" s="359" t="s">
        <v>48</v>
      </c>
      <c r="D13" s="359" t="s">
        <v>49</v>
      </c>
      <c r="E13" s="359" t="s">
        <v>50</v>
      </c>
      <c r="F13" s="360">
        <v>18</v>
      </c>
      <c r="G13" s="809">
        <v>0.26</v>
      </c>
      <c r="H13" s="360">
        <v>3.3</v>
      </c>
      <c r="I13" s="85" t="s">
        <v>51</v>
      </c>
      <c r="J13" s="569" t="s">
        <v>52</v>
      </c>
      <c r="K13" s="361" t="s">
        <v>52</v>
      </c>
      <c r="L13" s="361" t="s">
        <v>52</v>
      </c>
      <c r="M13" s="361" t="s">
        <v>52</v>
      </c>
      <c r="N13" s="361" t="s">
        <v>52</v>
      </c>
      <c r="O13" s="361" t="s">
        <v>52</v>
      </c>
      <c r="P13" s="361" t="s">
        <v>52</v>
      </c>
      <c r="Q13" s="361" t="s">
        <v>52</v>
      </c>
      <c r="R13" s="361" t="s">
        <v>52</v>
      </c>
      <c r="S13" s="361" t="s">
        <v>52</v>
      </c>
      <c r="T13" s="361" t="s">
        <v>52</v>
      </c>
      <c r="U13" s="361" t="s">
        <v>52</v>
      </c>
      <c r="V13" s="362" t="s">
        <v>52</v>
      </c>
      <c r="W13" s="389"/>
    </row>
    <row r="14" spans="1:23" ht="15" customHeight="1" x14ac:dyDescent="0.3">
      <c r="A14" s="53"/>
      <c r="B14" s="363" t="s">
        <v>47</v>
      </c>
      <c r="C14" s="84" t="s">
        <v>53</v>
      </c>
      <c r="D14" s="84" t="s">
        <v>54</v>
      </c>
      <c r="E14" s="84" t="s">
        <v>55</v>
      </c>
      <c r="F14" s="87">
        <v>289</v>
      </c>
      <c r="G14" s="810">
        <v>0.57999999999999996</v>
      </c>
      <c r="H14" s="87">
        <v>2</v>
      </c>
      <c r="I14" s="79" t="s">
        <v>51</v>
      </c>
      <c r="J14" s="570" t="s">
        <v>52</v>
      </c>
      <c r="K14" s="316" t="s">
        <v>52</v>
      </c>
      <c r="L14" s="316" t="s">
        <v>52</v>
      </c>
      <c r="M14" s="364" t="s">
        <v>52</v>
      </c>
      <c r="N14" s="364" t="s">
        <v>52</v>
      </c>
      <c r="O14" s="364" t="s">
        <v>52</v>
      </c>
      <c r="P14" s="364" t="s">
        <v>52</v>
      </c>
      <c r="Q14" s="364" t="s">
        <v>52</v>
      </c>
      <c r="R14" s="364" t="s">
        <v>52</v>
      </c>
      <c r="S14" s="364" t="s">
        <v>52</v>
      </c>
      <c r="T14" s="364" t="s">
        <v>52</v>
      </c>
      <c r="U14" s="364" t="s">
        <v>52</v>
      </c>
      <c r="V14" s="365" t="s">
        <v>52</v>
      </c>
      <c r="W14" s="390"/>
    </row>
    <row r="15" spans="1:23" ht="15" customHeight="1" x14ac:dyDescent="0.3">
      <c r="A15" s="53"/>
      <c r="B15" s="363" t="s">
        <v>47</v>
      </c>
      <c r="C15" s="84" t="s">
        <v>56</v>
      </c>
      <c r="D15" s="84" t="s">
        <v>57</v>
      </c>
      <c r="E15" s="84" t="s">
        <v>55</v>
      </c>
      <c r="F15" s="87">
        <v>162</v>
      </c>
      <c r="G15" s="810">
        <v>0.57999999999999996</v>
      </c>
      <c r="H15" s="87">
        <v>2</v>
      </c>
      <c r="I15" s="79" t="s">
        <v>51</v>
      </c>
      <c r="J15" s="570" t="s">
        <v>52</v>
      </c>
      <c r="K15" s="316" t="s">
        <v>52</v>
      </c>
      <c r="L15" s="316" t="s">
        <v>52</v>
      </c>
      <c r="M15" s="364" t="s">
        <v>52</v>
      </c>
      <c r="N15" s="364" t="s">
        <v>52</v>
      </c>
      <c r="O15" s="364" t="s">
        <v>52</v>
      </c>
      <c r="P15" s="364" t="s">
        <v>52</v>
      </c>
      <c r="Q15" s="364" t="s">
        <v>52</v>
      </c>
      <c r="R15" s="364" t="s">
        <v>52</v>
      </c>
      <c r="S15" s="364" t="s">
        <v>52</v>
      </c>
      <c r="T15" s="364" t="s">
        <v>52</v>
      </c>
      <c r="U15" s="364" t="s">
        <v>52</v>
      </c>
      <c r="V15" s="365" t="s">
        <v>52</v>
      </c>
      <c r="W15" s="390"/>
    </row>
    <row r="16" spans="1:23" ht="15" customHeight="1" x14ac:dyDescent="0.3">
      <c r="A16" s="53"/>
      <c r="B16" s="363" t="s">
        <v>47</v>
      </c>
      <c r="C16" s="84" t="s">
        <v>58</v>
      </c>
      <c r="D16" s="84" t="s">
        <v>59</v>
      </c>
      <c r="E16" s="84" t="s">
        <v>60</v>
      </c>
      <c r="F16" s="87">
        <v>75</v>
      </c>
      <c r="G16" s="810">
        <v>0.38</v>
      </c>
      <c r="H16" s="87">
        <v>3</v>
      </c>
      <c r="I16" s="79" t="s">
        <v>61</v>
      </c>
      <c r="J16" s="571" t="s">
        <v>62</v>
      </c>
      <c r="K16" s="366" t="s">
        <v>62</v>
      </c>
      <c r="L16" s="366" t="s">
        <v>62</v>
      </c>
      <c r="M16" s="366" t="s">
        <v>62</v>
      </c>
      <c r="N16" s="366" t="s">
        <v>62</v>
      </c>
      <c r="O16" s="366" t="s">
        <v>62</v>
      </c>
      <c r="P16" s="366" t="s">
        <v>62</v>
      </c>
      <c r="Q16" s="366" t="s">
        <v>62</v>
      </c>
      <c r="R16" s="366" t="s">
        <v>62</v>
      </c>
      <c r="S16" s="366" t="s">
        <v>62</v>
      </c>
      <c r="T16" s="366" t="s">
        <v>62</v>
      </c>
      <c r="U16" s="366" t="s">
        <v>62</v>
      </c>
      <c r="V16" s="367" t="s">
        <v>62</v>
      </c>
      <c r="W16" s="391" t="s">
        <v>63</v>
      </c>
    </row>
    <row r="17" spans="1:23" ht="15" customHeight="1" x14ac:dyDescent="0.3">
      <c r="A17" s="53"/>
      <c r="B17" s="363" t="s">
        <v>64</v>
      </c>
      <c r="C17" s="84" t="s">
        <v>65</v>
      </c>
      <c r="D17" s="84" t="s">
        <v>66</v>
      </c>
      <c r="E17" s="84" t="s">
        <v>55</v>
      </c>
      <c r="F17" s="87">
        <v>890</v>
      </c>
      <c r="G17" s="810">
        <v>0.6</v>
      </c>
      <c r="H17" s="87">
        <v>2</v>
      </c>
      <c r="I17" s="79" t="s">
        <v>67</v>
      </c>
      <c r="J17" s="571" t="s">
        <v>62</v>
      </c>
      <c r="K17" s="366" t="s">
        <v>62</v>
      </c>
      <c r="L17" s="366" t="s">
        <v>62</v>
      </c>
      <c r="M17" s="368" t="s">
        <v>52</v>
      </c>
      <c r="N17" s="368" t="s">
        <v>52</v>
      </c>
      <c r="O17" s="368" t="s">
        <v>52</v>
      </c>
      <c r="P17" s="368" t="s">
        <v>52</v>
      </c>
      <c r="Q17" s="368" t="s">
        <v>52</v>
      </c>
      <c r="R17" s="368" t="s">
        <v>52</v>
      </c>
      <c r="S17" s="368" t="s">
        <v>52</v>
      </c>
      <c r="T17" s="368" t="s">
        <v>52</v>
      </c>
      <c r="U17" s="368" t="s">
        <v>52</v>
      </c>
      <c r="V17" s="369" t="s">
        <v>52</v>
      </c>
      <c r="W17" s="391" t="s">
        <v>68</v>
      </c>
    </row>
    <row r="18" spans="1:23" ht="15" customHeight="1" x14ac:dyDescent="0.3">
      <c r="A18" s="53"/>
      <c r="B18" s="363" t="s">
        <v>47</v>
      </c>
      <c r="C18" s="84" t="s">
        <v>69</v>
      </c>
      <c r="D18" s="84" t="s">
        <v>49</v>
      </c>
      <c r="E18" s="84" t="s">
        <v>50</v>
      </c>
      <c r="F18" s="87">
        <v>32</v>
      </c>
      <c r="G18" s="810">
        <v>0.26</v>
      </c>
      <c r="H18" s="87">
        <v>3.3</v>
      </c>
      <c r="I18" s="79" t="s">
        <v>51</v>
      </c>
      <c r="J18" s="570" t="s">
        <v>52</v>
      </c>
      <c r="K18" s="316" t="s">
        <v>52</v>
      </c>
      <c r="L18" s="316" t="s">
        <v>52</v>
      </c>
      <c r="M18" s="364" t="s">
        <v>52</v>
      </c>
      <c r="N18" s="364" t="s">
        <v>52</v>
      </c>
      <c r="O18" s="364" t="s">
        <v>52</v>
      </c>
      <c r="P18" s="364" t="s">
        <v>52</v>
      </c>
      <c r="Q18" s="364" t="s">
        <v>52</v>
      </c>
      <c r="R18" s="364" t="s">
        <v>52</v>
      </c>
      <c r="S18" s="364" t="s">
        <v>52</v>
      </c>
      <c r="T18" s="364" t="s">
        <v>52</v>
      </c>
      <c r="U18" s="364" t="s">
        <v>52</v>
      </c>
      <c r="V18" s="365" t="s">
        <v>52</v>
      </c>
      <c r="W18" s="390"/>
    </row>
    <row r="19" spans="1:23" ht="15" customHeight="1" x14ac:dyDescent="0.3">
      <c r="A19" s="53"/>
      <c r="B19" s="363" t="s">
        <v>70</v>
      </c>
      <c r="C19" s="84" t="s">
        <v>71</v>
      </c>
      <c r="D19" s="84" t="s">
        <v>72</v>
      </c>
      <c r="E19" s="84" t="s">
        <v>73</v>
      </c>
      <c r="F19" s="87">
        <v>21</v>
      </c>
      <c r="G19" s="810">
        <v>0.36</v>
      </c>
      <c r="H19" s="2">
        <v>15</v>
      </c>
      <c r="I19" s="79" t="s">
        <v>74</v>
      </c>
      <c r="J19" s="572" t="s">
        <v>52</v>
      </c>
      <c r="K19" s="370" t="s">
        <v>52</v>
      </c>
      <c r="L19" s="370" t="s">
        <v>52</v>
      </c>
      <c r="M19" s="371" t="s">
        <v>52</v>
      </c>
      <c r="N19" s="371" t="s">
        <v>52</v>
      </c>
      <c r="O19" s="371" t="s">
        <v>52</v>
      </c>
      <c r="P19" s="371" t="s">
        <v>52</v>
      </c>
      <c r="Q19" s="371" t="s">
        <v>52</v>
      </c>
      <c r="R19" s="371" t="s">
        <v>52</v>
      </c>
      <c r="S19" s="371" t="s">
        <v>52</v>
      </c>
      <c r="T19" s="371" t="s">
        <v>52</v>
      </c>
      <c r="U19" s="371" t="s">
        <v>52</v>
      </c>
      <c r="V19" s="372" t="s">
        <v>52</v>
      </c>
      <c r="W19" s="390"/>
    </row>
    <row r="20" spans="1:23" ht="15" customHeight="1" x14ac:dyDescent="0.3">
      <c r="A20" s="53"/>
      <c r="B20" s="363" t="s">
        <v>70</v>
      </c>
      <c r="C20" s="84" t="s">
        <v>75</v>
      </c>
      <c r="D20" s="84" t="s">
        <v>72</v>
      </c>
      <c r="E20" s="84" t="s">
        <v>73</v>
      </c>
      <c r="F20" s="87">
        <v>24</v>
      </c>
      <c r="G20" s="810">
        <v>0.36</v>
      </c>
      <c r="H20" s="2">
        <v>15</v>
      </c>
      <c r="I20" s="79" t="s">
        <v>74</v>
      </c>
      <c r="J20" s="572" t="s">
        <v>52</v>
      </c>
      <c r="K20" s="370" t="s">
        <v>52</v>
      </c>
      <c r="L20" s="370" t="s">
        <v>52</v>
      </c>
      <c r="M20" s="371" t="s">
        <v>52</v>
      </c>
      <c r="N20" s="371" t="s">
        <v>52</v>
      </c>
      <c r="O20" s="371" t="s">
        <v>52</v>
      </c>
      <c r="P20" s="371" t="s">
        <v>52</v>
      </c>
      <c r="Q20" s="371" t="s">
        <v>52</v>
      </c>
      <c r="R20" s="371" t="s">
        <v>52</v>
      </c>
      <c r="S20" s="371" t="s">
        <v>52</v>
      </c>
      <c r="T20" s="371" t="s">
        <v>52</v>
      </c>
      <c r="U20" s="371" t="s">
        <v>52</v>
      </c>
      <c r="V20" s="372" t="s">
        <v>52</v>
      </c>
      <c r="W20" s="390"/>
    </row>
    <row r="21" spans="1:23" ht="15" customHeight="1" x14ac:dyDescent="0.3">
      <c r="A21" s="53"/>
      <c r="B21" s="363" t="s">
        <v>47</v>
      </c>
      <c r="C21" s="84" t="s">
        <v>76</v>
      </c>
      <c r="D21" s="84" t="s">
        <v>77</v>
      </c>
      <c r="E21" s="84" t="s">
        <v>55</v>
      </c>
      <c r="F21" s="373">
        <v>25.1</v>
      </c>
      <c r="G21" s="810">
        <v>0.45</v>
      </c>
      <c r="H21" s="373">
        <v>3.3</v>
      </c>
      <c r="I21" s="79" t="s">
        <v>74</v>
      </c>
      <c r="J21" s="573" t="s">
        <v>52</v>
      </c>
      <c r="K21" s="374" t="s">
        <v>52</v>
      </c>
      <c r="L21" s="374" t="s">
        <v>52</v>
      </c>
      <c r="M21" s="371" t="s">
        <v>52</v>
      </c>
      <c r="N21" s="371" t="s">
        <v>52</v>
      </c>
      <c r="O21" s="371" t="s">
        <v>52</v>
      </c>
      <c r="P21" s="371" t="s">
        <v>52</v>
      </c>
      <c r="Q21" s="371" t="s">
        <v>52</v>
      </c>
      <c r="R21" s="371" t="s">
        <v>52</v>
      </c>
      <c r="S21" s="371" t="s">
        <v>52</v>
      </c>
      <c r="T21" s="371" t="s">
        <v>52</v>
      </c>
      <c r="U21" s="371" t="s">
        <v>52</v>
      </c>
      <c r="V21" s="372" t="s">
        <v>52</v>
      </c>
      <c r="W21" s="392"/>
    </row>
    <row r="22" spans="1:23" ht="15" customHeight="1" x14ac:dyDescent="0.3">
      <c r="A22" s="53"/>
      <c r="B22" s="363" t="s">
        <v>70</v>
      </c>
      <c r="C22" s="84" t="s">
        <v>78</v>
      </c>
      <c r="D22" s="84" t="s">
        <v>72</v>
      </c>
      <c r="E22" s="84" t="s">
        <v>73</v>
      </c>
      <c r="F22" s="87">
        <v>41</v>
      </c>
      <c r="G22" s="810">
        <v>0.36</v>
      </c>
      <c r="H22" s="2">
        <v>15</v>
      </c>
      <c r="I22" s="79" t="s">
        <v>74</v>
      </c>
      <c r="J22" s="572" t="s">
        <v>52</v>
      </c>
      <c r="K22" s="370" t="s">
        <v>52</v>
      </c>
      <c r="L22" s="370" t="s">
        <v>52</v>
      </c>
      <c r="M22" s="371" t="s">
        <v>52</v>
      </c>
      <c r="N22" s="371" t="s">
        <v>52</v>
      </c>
      <c r="O22" s="371" t="s">
        <v>52</v>
      </c>
      <c r="P22" s="371" t="s">
        <v>52</v>
      </c>
      <c r="Q22" s="371" t="s">
        <v>52</v>
      </c>
      <c r="R22" s="371" t="s">
        <v>52</v>
      </c>
      <c r="S22" s="371" t="s">
        <v>52</v>
      </c>
      <c r="T22" s="371" t="s">
        <v>52</v>
      </c>
      <c r="U22" s="371" t="s">
        <v>52</v>
      </c>
      <c r="V22" s="372" t="s">
        <v>52</v>
      </c>
      <c r="W22" s="390"/>
    </row>
    <row r="23" spans="1:23" ht="15" customHeight="1" x14ac:dyDescent="0.3">
      <c r="A23" s="53"/>
      <c r="B23" s="363" t="s">
        <v>79</v>
      </c>
      <c r="C23" s="84" t="s">
        <v>80</v>
      </c>
      <c r="D23" s="84" t="s">
        <v>72</v>
      </c>
      <c r="E23" s="84" t="s">
        <v>60</v>
      </c>
      <c r="F23" s="87">
        <v>18</v>
      </c>
      <c r="G23" s="810">
        <v>0.42</v>
      </c>
      <c r="H23" s="87">
        <v>3</v>
      </c>
      <c r="I23" s="79" t="s">
        <v>74</v>
      </c>
      <c r="J23" s="572" t="s">
        <v>52</v>
      </c>
      <c r="K23" s="370" t="s">
        <v>52</v>
      </c>
      <c r="L23" s="370" t="s">
        <v>52</v>
      </c>
      <c r="M23" s="371" t="s">
        <v>52</v>
      </c>
      <c r="N23" s="371" t="s">
        <v>52</v>
      </c>
      <c r="O23" s="371" t="s">
        <v>52</v>
      </c>
      <c r="P23" s="371" t="s">
        <v>52</v>
      </c>
      <c r="Q23" s="371" t="s">
        <v>52</v>
      </c>
      <c r="R23" s="371" t="s">
        <v>52</v>
      </c>
      <c r="S23" s="371" t="s">
        <v>52</v>
      </c>
      <c r="T23" s="371" t="s">
        <v>52</v>
      </c>
      <c r="U23" s="371" t="s">
        <v>52</v>
      </c>
      <c r="V23" s="372" t="s">
        <v>52</v>
      </c>
      <c r="W23" s="390"/>
    </row>
    <row r="24" spans="1:23" ht="15" customHeight="1" x14ac:dyDescent="0.3">
      <c r="A24" s="53"/>
      <c r="B24" s="363" t="s">
        <v>81</v>
      </c>
      <c r="C24" s="84" t="s">
        <v>82</v>
      </c>
      <c r="D24" s="84" t="s">
        <v>72</v>
      </c>
      <c r="E24" s="84" t="s">
        <v>73</v>
      </c>
      <c r="F24" s="87">
        <v>19.399999999999999</v>
      </c>
      <c r="G24" s="810">
        <v>0.42</v>
      </c>
      <c r="H24" s="87">
        <v>3</v>
      </c>
      <c r="I24" s="79" t="s">
        <v>74</v>
      </c>
      <c r="J24" s="572" t="s">
        <v>52</v>
      </c>
      <c r="K24" s="370" t="s">
        <v>52</v>
      </c>
      <c r="L24" s="370" t="s">
        <v>52</v>
      </c>
      <c r="M24" s="371" t="s">
        <v>52</v>
      </c>
      <c r="N24" s="371" t="s">
        <v>52</v>
      </c>
      <c r="O24" s="371" t="s">
        <v>52</v>
      </c>
      <c r="P24" s="371" t="s">
        <v>52</v>
      </c>
      <c r="Q24" s="371" t="s">
        <v>52</v>
      </c>
      <c r="R24" s="371" t="s">
        <v>52</v>
      </c>
      <c r="S24" s="371" t="s">
        <v>52</v>
      </c>
      <c r="T24" s="371" t="s">
        <v>52</v>
      </c>
      <c r="U24" s="371" t="s">
        <v>52</v>
      </c>
      <c r="V24" s="372" t="s">
        <v>52</v>
      </c>
      <c r="W24" s="390"/>
    </row>
    <row r="25" spans="1:23" ht="15" customHeight="1" x14ac:dyDescent="0.3">
      <c r="A25" s="53"/>
      <c r="B25" s="363" t="s">
        <v>83</v>
      </c>
      <c r="C25" s="84" t="s">
        <v>84</v>
      </c>
      <c r="D25" s="103" t="s">
        <v>77</v>
      </c>
      <c r="E25" s="103" t="s">
        <v>55</v>
      </c>
      <c r="F25" s="15">
        <v>32</v>
      </c>
      <c r="G25" s="811">
        <v>0.45</v>
      </c>
      <c r="H25" s="87">
        <v>3.3</v>
      </c>
      <c r="I25" s="79" t="s">
        <v>74</v>
      </c>
      <c r="J25" s="571" t="s">
        <v>62</v>
      </c>
      <c r="K25" s="370" t="s">
        <v>52</v>
      </c>
      <c r="L25" s="370" t="s">
        <v>52</v>
      </c>
      <c r="M25" s="370" t="s">
        <v>52</v>
      </c>
      <c r="N25" s="370" t="s">
        <v>52</v>
      </c>
      <c r="O25" s="370" t="s">
        <v>52</v>
      </c>
      <c r="P25" s="370" t="s">
        <v>52</v>
      </c>
      <c r="Q25" s="370" t="s">
        <v>52</v>
      </c>
      <c r="R25" s="370" t="s">
        <v>52</v>
      </c>
      <c r="S25" s="370" t="s">
        <v>52</v>
      </c>
      <c r="T25" s="370" t="s">
        <v>52</v>
      </c>
      <c r="U25" s="370" t="s">
        <v>52</v>
      </c>
      <c r="V25" s="375" t="s">
        <v>52</v>
      </c>
      <c r="W25" s="393"/>
    </row>
    <row r="26" spans="1:23" ht="15" customHeight="1" x14ac:dyDescent="0.3">
      <c r="A26" s="53"/>
      <c r="B26" s="363" t="s">
        <v>47</v>
      </c>
      <c r="C26" s="84" t="s">
        <v>85</v>
      </c>
      <c r="D26" s="84" t="s">
        <v>49</v>
      </c>
      <c r="E26" s="84" t="s">
        <v>50</v>
      </c>
      <c r="F26" s="87">
        <v>18</v>
      </c>
      <c r="G26" s="810">
        <v>0.26</v>
      </c>
      <c r="H26" s="87">
        <v>3.3</v>
      </c>
      <c r="I26" s="79" t="s">
        <v>51</v>
      </c>
      <c r="J26" s="570" t="s">
        <v>52</v>
      </c>
      <c r="K26" s="316" t="s">
        <v>52</v>
      </c>
      <c r="L26" s="316" t="s">
        <v>52</v>
      </c>
      <c r="M26" s="364" t="s">
        <v>52</v>
      </c>
      <c r="N26" s="364" t="s">
        <v>52</v>
      </c>
      <c r="O26" s="364" t="s">
        <v>52</v>
      </c>
      <c r="P26" s="364" t="s">
        <v>52</v>
      </c>
      <c r="Q26" s="364" t="s">
        <v>52</v>
      </c>
      <c r="R26" s="364" t="s">
        <v>52</v>
      </c>
      <c r="S26" s="364" t="s">
        <v>52</v>
      </c>
      <c r="T26" s="364" t="s">
        <v>52</v>
      </c>
      <c r="U26" s="364" t="s">
        <v>52</v>
      </c>
      <c r="V26" s="365" t="s">
        <v>52</v>
      </c>
      <c r="W26" s="390"/>
    </row>
    <row r="27" spans="1:23" ht="15" customHeight="1" x14ac:dyDescent="0.3">
      <c r="A27" s="53"/>
      <c r="B27" s="363" t="s">
        <v>47</v>
      </c>
      <c r="C27" s="84" t="s">
        <v>86</v>
      </c>
      <c r="D27" s="84" t="s">
        <v>87</v>
      </c>
      <c r="E27" s="84" t="s">
        <v>88</v>
      </c>
      <c r="F27" s="87">
        <v>445</v>
      </c>
      <c r="G27" s="810">
        <v>0.33</v>
      </c>
      <c r="H27" s="87">
        <v>9</v>
      </c>
      <c r="I27" s="79" t="s">
        <v>89</v>
      </c>
      <c r="J27" s="574" t="s">
        <v>52</v>
      </c>
      <c r="K27" s="376" t="s">
        <v>52</v>
      </c>
      <c r="L27" s="376" t="s">
        <v>52</v>
      </c>
      <c r="M27" s="366" t="s">
        <v>62</v>
      </c>
      <c r="N27" s="366" t="s">
        <v>62</v>
      </c>
      <c r="O27" s="366" t="s">
        <v>62</v>
      </c>
      <c r="P27" s="366" t="s">
        <v>62</v>
      </c>
      <c r="Q27" s="366" t="s">
        <v>62</v>
      </c>
      <c r="R27" s="366" t="s">
        <v>62</v>
      </c>
      <c r="S27" s="366" t="s">
        <v>62</v>
      </c>
      <c r="T27" s="366" t="s">
        <v>62</v>
      </c>
      <c r="U27" s="366" t="s">
        <v>62</v>
      </c>
      <c r="V27" s="367" t="s">
        <v>62</v>
      </c>
      <c r="W27" s="391" t="s">
        <v>90</v>
      </c>
    </row>
    <row r="28" spans="1:23" ht="15" customHeight="1" x14ac:dyDescent="0.3">
      <c r="A28" s="53"/>
      <c r="B28" s="363" t="s">
        <v>47</v>
      </c>
      <c r="C28" s="84" t="s">
        <v>91</v>
      </c>
      <c r="D28" s="84" t="s">
        <v>87</v>
      </c>
      <c r="E28" s="84" t="s">
        <v>88</v>
      </c>
      <c r="F28" s="87">
        <v>445</v>
      </c>
      <c r="G28" s="810">
        <v>0.33</v>
      </c>
      <c r="H28" s="87">
        <v>9</v>
      </c>
      <c r="I28" s="79" t="s">
        <v>89</v>
      </c>
      <c r="J28" s="574" t="s">
        <v>52</v>
      </c>
      <c r="K28" s="377" t="s">
        <v>52</v>
      </c>
      <c r="L28" s="377" t="s">
        <v>52</v>
      </c>
      <c r="M28" s="366" t="s">
        <v>62</v>
      </c>
      <c r="N28" s="366" t="s">
        <v>62</v>
      </c>
      <c r="O28" s="366" t="s">
        <v>62</v>
      </c>
      <c r="P28" s="366" t="s">
        <v>62</v>
      </c>
      <c r="Q28" s="366" t="s">
        <v>62</v>
      </c>
      <c r="R28" s="366" t="s">
        <v>62</v>
      </c>
      <c r="S28" s="366" t="s">
        <v>62</v>
      </c>
      <c r="T28" s="366" t="s">
        <v>62</v>
      </c>
      <c r="U28" s="366" t="s">
        <v>62</v>
      </c>
      <c r="V28" s="367" t="s">
        <v>62</v>
      </c>
      <c r="W28" s="391" t="s">
        <v>92</v>
      </c>
    </row>
    <row r="29" spans="1:23" ht="15" customHeight="1" x14ac:dyDescent="0.3">
      <c r="A29" s="53"/>
      <c r="B29" s="363" t="s">
        <v>47</v>
      </c>
      <c r="C29" s="84" t="s">
        <v>93</v>
      </c>
      <c r="D29" s="84" t="s">
        <v>87</v>
      </c>
      <c r="E29" s="84" t="s">
        <v>88</v>
      </c>
      <c r="F29" s="87">
        <v>1006</v>
      </c>
      <c r="G29" s="810">
        <v>0.33</v>
      </c>
      <c r="H29" s="87">
        <v>9</v>
      </c>
      <c r="I29" s="79" t="s">
        <v>89</v>
      </c>
      <c r="J29" s="571" t="s">
        <v>62</v>
      </c>
      <c r="K29" s="366" t="s">
        <v>62</v>
      </c>
      <c r="L29" s="366" t="s">
        <v>62</v>
      </c>
      <c r="M29" s="366" t="s">
        <v>62</v>
      </c>
      <c r="N29" s="366" t="s">
        <v>62</v>
      </c>
      <c r="O29" s="366" t="s">
        <v>62</v>
      </c>
      <c r="P29" s="366" t="s">
        <v>62</v>
      </c>
      <c r="Q29" s="366" t="s">
        <v>62</v>
      </c>
      <c r="R29" s="366" t="s">
        <v>62</v>
      </c>
      <c r="S29" s="366" t="s">
        <v>62</v>
      </c>
      <c r="T29" s="366" t="s">
        <v>62</v>
      </c>
      <c r="U29" s="366" t="s">
        <v>62</v>
      </c>
      <c r="V29" s="367" t="s">
        <v>62</v>
      </c>
      <c r="W29" s="391" t="s">
        <v>94</v>
      </c>
    </row>
    <row r="30" spans="1:23" ht="15" customHeight="1" x14ac:dyDescent="0.3">
      <c r="A30" s="53"/>
      <c r="B30" s="363" t="s">
        <v>47</v>
      </c>
      <c r="C30" s="84" t="s">
        <v>95</v>
      </c>
      <c r="D30" s="84" t="s">
        <v>87</v>
      </c>
      <c r="E30" s="84" t="s">
        <v>88</v>
      </c>
      <c r="F30" s="87">
        <v>1039</v>
      </c>
      <c r="G30" s="810">
        <v>0.33</v>
      </c>
      <c r="H30" s="87">
        <v>9</v>
      </c>
      <c r="I30" s="79" t="s">
        <v>89</v>
      </c>
      <c r="J30" s="574" t="s">
        <v>52</v>
      </c>
      <c r="K30" s="377" t="s">
        <v>52</v>
      </c>
      <c r="L30" s="377" t="s">
        <v>52</v>
      </c>
      <c r="M30" s="366" t="s">
        <v>62</v>
      </c>
      <c r="N30" s="378" t="s">
        <v>52</v>
      </c>
      <c r="O30" s="378" t="s">
        <v>52</v>
      </c>
      <c r="P30" s="378" t="s">
        <v>52</v>
      </c>
      <c r="Q30" s="378" t="s">
        <v>52</v>
      </c>
      <c r="R30" s="378" t="s">
        <v>52</v>
      </c>
      <c r="S30" s="378" t="s">
        <v>52</v>
      </c>
      <c r="T30" s="378" t="s">
        <v>52</v>
      </c>
      <c r="U30" s="378" t="s">
        <v>52</v>
      </c>
      <c r="V30" s="379" t="s">
        <v>52</v>
      </c>
      <c r="W30" s="394" t="s">
        <v>96</v>
      </c>
    </row>
    <row r="31" spans="1:23" ht="15" customHeight="1" x14ac:dyDescent="0.3">
      <c r="A31" s="53"/>
      <c r="B31" s="363" t="s">
        <v>47</v>
      </c>
      <c r="C31" s="84" t="s">
        <v>97</v>
      </c>
      <c r="D31" s="84" t="s">
        <v>54</v>
      </c>
      <c r="E31" s="84" t="s">
        <v>55</v>
      </c>
      <c r="F31" s="87">
        <v>150</v>
      </c>
      <c r="G31" s="810">
        <v>0.52</v>
      </c>
      <c r="H31" s="87">
        <v>2</v>
      </c>
      <c r="I31" s="79" t="s">
        <v>51</v>
      </c>
      <c r="J31" s="570" t="s">
        <v>52</v>
      </c>
      <c r="K31" s="316" t="s">
        <v>52</v>
      </c>
      <c r="L31" s="316" t="s">
        <v>52</v>
      </c>
      <c r="M31" s="364" t="s">
        <v>52</v>
      </c>
      <c r="N31" s="364" t="s">
        <v>52</v>
      </c>
      <c r="O31" s="364" t="s">
        <v>52</v>
      </c>
      <c r="P31" s="364" t="s">
        <v>52</v>
      </c>
      <c r="Q31" s="364" t="s">
        <v>52</v>
      </c>
      <c r="R31" s="364" t="s">
        <v>52</v>
      </c>
      <c r="S31" s="364" t="s">
        <v>52</v>
      </c>
      <c r="T31" s="364" t="s">
        <v>52</v>
      </c>
      <c r="U31" s="364" t="s">
        <v>52</v>
      </c>
      <c r="V31" s="365" t="s">
        <v>52</v>
      </c>
      <c r="W31" s="390"/>
    </row>
    <row r="32" spans="1:23" ht="15" customHeight="1" x14ac:dyDescent="0.3">
      <c r="A32" s="53"/>
      <c r="B32" s="363" t="s">
        <v>47</v>
      </c>
      <c r="C32" s="84" t="s">
        <v>98</v>
      </c>
      <c r="D32" s="84" t="s">
        <v>54</v>
      </c>
      <c r="E32" s="84" t="s">
        <v>55</v>
      </c>
      <c r="F32" s="87">
        <v>150</v>
      </c>
      <c r="G32" s="810">
        <v>0.52</v>
      </c>
      <c r="H32" s="87">
        <v>2</v>
      </c>
      <c r="I32" s="79" t="s">
        <v>51</v>
      </c>
      <c r="J32" s="570" t="s">
        <v>52</v>
      </c>
      <c r="K32" s="316" t="s">
        <v>52</v>
      </c>
      <c r="L32" s="316" t="s">
        <v>52</v>
      </c>
      <c r="M32" s="364" t="s">
        <v>52</v>
      </c>
      <c r="N32" s="364" t="s">
        <v>52</v>
      </c>
      <c r="O32" s="364" t="s">
        <v>52</v>
      </c>
      <c r="P32" s="364" t="s">
        <v>52</v>
      </c>
      <c r="Q32" s="364" t="s">
        <v>52</v>
      </c>
      <c r="R32" s="364" t="s">
        <v>52</v>
      </c>
      <c r="S32" s="364" t="s">
        <v>52</v>
      </c>
      <c r="T32" s="364" t="s">
        <v>52</v>
      </c>
      <c r="U32" s="364" t="s">
        <v>52</v>
      </c>
      <c r="V32" s="365" t="s">
        <v>52</v>
      </c>
      <c r="W32" s="390"/>
    </row>
    <row r="33" spans="1:23" ht="15" customHeight="1" x14ac:dyDescent="0.3">
      <c r="A33" s="53"/>
      <c r="B33" s="363" t="s">
        <v>47</v>
      </c>
      <c r="C33" s="84" t="s">
        <v>99</v>
      </c>
      <c r="D33" s="84" t="s">
        <v>57</v>
      </c>
      <c r="E33" s="84" t="s">
        <v>55</v>
      </c>
      <c r="F33" s="87">
        <v>160</v>
      </c>
      <c r="G33" s="810">
        <v>0.52</v>
      </c>
      <c r="H33" s="87">
        <v>2</v>
      </c>
      <c r="I33" s="79" t="s">
        <v>51</v>
      </c>
      <c r="J33" s="570" t="s">
        <v>52</v>
      </c>
      <c r="K33" s="316" t="s">
        <v>52</v>
      </c>
      <c r="L33" s="316" t="s">
        <v>52</v>
      </c>
      <c r="M33" s="364" t="s">
        <v>52</v>
      </c>
      <c r="N33" s="364" t="s">
        <v>52</v>
      </c>
      <c r="O33" s="364" t="s">
        <v>52</v>
      </c>
      <c r="P33" s="364" t="s">
        <v>52</v>
      </c>
      <c r="Q33" s="364" t="s">
        <v>52</v>
      </c>
      <c r="R33" s="364" t="s">
        <v>52</v>
      </c>
      <c r="S33" s="364" t="s">
        <v>52</v>
      </c>
      <c r="T33" s="364" t="s">
        <v>52</v>
      </c>
      <c r="U33" s="364" t="s">
        <v>52</v>
      </c>
      <c r="V33" s="365" t="s">
        <v>52</v>
      </c>
      <c r="W33" s="390"/>
    </row>
    <row r="34" spans="1:23" ht="15" customHeight="1" x14ac:dyDescent="0.3">
      <c r="A34" s="53"/>
      <c r="B34" s="363" t="s">
        <v>100</v>
      </c>
      <c r="C34" s="84" t="s">
        <v>101</v>
      </c>
      <c r="D34" s="84" t="s">
        <v>102</v>
      </c>
      <c r="E34" s="84" t="s">
        <v>55</v>
      </c>
      <c r="F34" s="87">
        <v>25</v>
      </c>
      <c r="G34" s="810">
        <v>0.3</v>
      </c>
      <c r="H34" s="87">
        <v>2</v>
      </c>
      <c r="I34" s="79" t="s">
        <v>51</v>
      </c>
      <c r="J34" s="570" t="s">
        <v>52</v>
      </c>
      <c r="K34" s="316" t="s">
        <v>52</v>
      </c>
      <c r="L34" s="316" t="s">
        <v>52</v>
      </c>
      <c r="M34" s="364" t="s">
        <v>52</v>
      </c>
      <c r="N34" s="364" t="s">
        <v>52</v>
      </c>
      <c r="O34" s="364" t="s">
        <v>52</v>
      </c>
      <c r="P34" s="364" t="s">
        <v>52</v>
      </c>
      <c r="Q34" s="364" t="s">
        <v>52</v>
      </c>
      <c r="R34" s="364" t="s">
        <v>52</v>
      </c>
      <c r="S34" s="364" t="s">
        <v>52</v>
      </c>
      <c r="T34" s="364" t="s">
        <v>52</v>
      </c>
      <c r="U34" s="364" t="s">
        <v>52</v>
      </c>
      <c r="V34" s="365" t="s">
        <v>52</v>
      </c>
      <c r="W34" s="390"/>
    </row>
    <row r="35" spans="1:23" ht="15" customHeight="1" x14ac:dyDescent="0.3">
      <c r="A35" s="53"/>
      <c r="B35" s="363" t="s">
        <v>100</v>
      </c>
      <c r="C35" s="84" t="s">
        <v>103</v>
      </c>
      <c r="D35" s="84" t="s">
        <v>102</v>
      </c>
      <c r="E35" s="84" t="s">
        <v>55</v>
      </c>
      <c r="F35" s="87">
        <v>25</v>
      </c>
      <c r="G35" s="810">
        <v>0.3</v>
      </c>
      <c r="H35" s="87">
        <v>2</v>
      </c>
      <c r="I35" s="79" t="s">
        <v>51</v>
      </c>
      <c r="J35" s="570" t="s">
        <v>52</v>
      </c>
      <c r="K35" s="316" t="s">
        <v>52</v>
      </c>
      <c r="L35" s="316" t="s">
        <v>52</v>
      </c>
      <c r="M35" s="364" t="s">
        <v>52</v>
      </c>
      <c r="N35" s="364" t="s">
        <v>52</v>
      </c>
      <c r="O35" s="364" t="s">
        <v>52</v>
      </c>
      <c r="P35" s="364" t="s">
        <v>52</v>
      </c>
      <c r="Q35" s="364" t="s">
        <v>52</v>
      </c>
      <c r="R35" s="364" t="s">
        <v>52</v>
      </c>
      <c r="S35" s="364" t="s">
        <v>52</v>
      </c>
      <c r="T35" s="364" t="s">
        <v>52</v>
      </c>
      <c r="U35" s="364" t="s">
        <v>52</v>
      </c>
      <c r="V35" s="365" t="s">
        <v>52</v>
      </c>
      <c r="W35" s="390"/>
    </row>
    <row r="36" spans="1:23" ht="15" customHeight="1" x14ac:dyDescent="0.3">
      <c r="A36" s="53"/>
      <c r="B36" s="363" t="s">
        <v>100</v>
      </c>
      <c r="C36" s="84" t="s">
        <v>104</v>
      </c>
      <c r="D36" s="84" t="s">
        <v>102</v>
      </c>
      <c r="E36" s="84" t="s">
        <v>55</v>
      </c>
      <c r="F36" s="87">
        <v>64</v>
      </c>
      <c r="G36" s="810">
        <v>0.42</v>
      </c>
      <c r="H36" s="87">
        <v>11</v>
      </c>
      <c r="I36" s="79" t="s">
        <v>51</v>
      </c>
      <c r="J36" s="570" t="s">
        <v>52</v>
      </c>
      <c r="K36" s="316" t="s">
        <v>52</v>
      </c>
      <c r="L36" s="316" t="s">
        <v>52</v>
      </c>
      <c r="M36" s="364" t="s">
        <v>52</v>
      </c>
      <c r="N36" s="364" t="s">
        <v>52</v>
      </c>
      <c r="O36" s="364" t="s">
        <v>52</v>
      </c>
      <c r="P36" s="364" t="s">
        <v>52</v>
      </c>
      <c r="Q36" s="364" t="s">
        <v>52</v>
      </c>
      <c r="R36" s="364" t="s">
        <v>52</v>
      </c>
      <c r="S36" s="364" t="s">
        <v>52</v>
      </c>
      <c r="T36" s="364" t="s">
        <v>52</v>
      </c>
      <c r="U36" s="364" t="s">
        <v>52</v>
      </c>
      <c r="V36" s="365" t="s">
        <v>52</v>
      </c>
      <c r="W36" s="390"/>
    </row>
    <row r="37" spans="1:23" ht="15" customHeight="1" x14ac:dyDescent="0.3">
      <c r="A37" s="53"/>
      <c r="B37" s="363" t="s">
        <v>100</v>
      </c>
      <c r="C37" s="84" t="s">
        <v>105</v>
      </c>
      <c r="D37" s="84" t="s">
        <v>102</v>
      </c>
      <c r="E37" s="84" t="s">
        <v>55</v>
      </c>
      <c r="F37" s="87">
        <v>64</v>
      </c>
      <c r="G37" s="810">
        <v>0.42</v>
      </c>
      <c r="H37" s="87">
        <v>11</v>
      </c>
      <c r="I37" s="79" t="s">
        <v>51</v>
      </c>
      <c r="J37" s="570" t="s">
        <v>52</v>
      </c>
      <c r="K37" s="316" t="s">
        <v>52</v>
      </c>
      <c r="L37" s="316" t="s">
        <v>52</v>
      </c>
      <c r="M37" s="364" t="s">
        <v>52</v>
      </c>
      <c r="N37" s="364" t="s">
        <v>52</v>
      </c>
      <c r="O37" s="364" t="s">
        <v>52</v>
      </c>
      <c r="P37" s="364" t="s">
        <v>52</v>
      </c>
      <c r="Q37" s="364" t="s">
        <v>52</v>
      </c>
      <c r="R37" s="364" t="s">
        <v>52</v>
      </c>
      <c r="S37" s="364" t="s">
        <v>52</v>
      </c>
      <c r="T37" s="364" t="s">
        <v>52</v>
      </c>
      <c r="U37" s="364" t="s">
        <v>52</v>
      </c>
      <c r="V37" s="365" t="s">
        <v>52</v>
      </c>
      <c r="W37" s="390"/>
    </row>
    <row r="38" spans="1:23" ht="15" customHeight="1" x14ac:dyDescent="0.3">
      <c r="A38" s="53"/>
      <c r="B38" s="363" t="s">
        <v>100</v>
      </c>
      <c r="C38" s="84" t="s">
        <v>106</v>
      </c>
      <c r="D38" s="84" t="s">
        <v>102</v>
      </c>
      <c r="E38" s="84" t="s">
        <v>55</v>
      </c>
      <c r="F38" s="87">
        <v>58</v>
      </c>
      <c r="G38" s="810">
        <v>0.42</v>
      </c>
      <c r="H38" s="87">
        <v>11</v>
      </c>
      <c r="I38" s="79" t="s">
        <v>51</v>
      </c>
      <c r="J38" s="570" t="s">
        <v>52</v>
      </c>
      <c r="K38" s="316" t="s">
        <v>52</v>
      </c>
      <c r="L38" s="316" t="s">
        <v>52</v>
      </c>
      <c r="M38" s="364" t="s">
        <v>52</v>
      </c>
      <c r="N38" s="364" t="s">
        <v>52</v>
      </c>
      <c r="O38" s="364" t="s">
        <v>52</v>
      </c>
      <c r="P38" s="364" t="s">
        <v>52</v>
      </c>
      <c r="Q38" s="364" t="s">
        <v>52</v>
      </c>
      <c r="R38" s="364" t="s">
        <v>52</v>
      </c>
      <c r="S38" s="364" t="s">
        <v>52</v>
      </c>
      <c r="T38" s="364" t="s">
        <v>52</v>
      </c>
      <c r="U38" s="364" t="s">
        <v>52</v>
      </c>
      <c r="V38" s="365" t="s">
        <v>52</v>
      </c>
      <c r="W38" s="390"/>
    </row>
    <row r="39" spans="1:23" ht="15" customHeight="1" x14ac:dyDescent="0.3">
      <c r="A39" s="53"/>
      <c r="B39" s="363" t="s">
        <v>100</v>
      </c>
      <c r="C39" s="84" t="s">
        <v>107</v>
      </c>
      <c r="D39" s="84" t="s">
        <v>102</v>
      </c>
      <c r="E39" s="84" t="s">
        <v>55</v>
      </c>
      <c r="F39" s="87">
        <v>58</v>
      </c>
      <c r="G39" s="810">
        <v>0.42</v>
      </c>
      <c r="H39" s="87">
        <v>11</v>
      </c>
      <c r="I39" s="79" t="s">
        <v>51</v>
      </c>
      <c r="J39" s="570" t="s">
        <v>52</v>
      </c>
      <c r="K39" s="316" t="s">
        <v>52</v>
      </c>
      <c r="L39" s="316" t="s">
        <v>52</v>
      </c>
      <c r="M39" s="364" t="s">
        <v>52</v>
      </c>
      <c r="N39" s="364" t="s">
        <v>52</v>
      </c>
      <c r="O39" s="364" t="s">
        <v>52</v>
      </c>
      <c r="P39" s="364" t="s">
        <v>52</v>
      </c>
      <c r="Q39" s="364" t="s">
        <v>52</v>
      </c>
      <c r="R39" s="364" t="s">
        <v>52</v>
      </c>
      <c r="S39" s="364" t="s">
        <v>52</v>
      </c>
      <c r="T39" s="364" t="s">
        <v>52</v>
      </c>
      <c r="U39" s="364" t="s">
        <v>52</v>
      </c>
      <c r="V39" s="365" t="s">
        <v>52</v>
      </c>
      <c r="W39" s="390"/>
    </row>
    <row r="40" spans="1:23" ht="15" customHeight="1" x14ac:dyDescent="0.3">
      <c r="A40" s="53"/>
      <c r="B40" s="363" t="s">
        <v>100</v>
      </c>
      <c r="C40" s="84" t="s">
        <v>108</v>
      </c>
      <c r="D40" s="84" t="s">
        <v>77</v>
      </c>
      <c r="E40" s="84" t="s">
        <v>55</v>
      </c>
      <c r="F40" s="87">
        <v>39</v>
      </c>
      <c r="G40" s="810">
        <v>0.45</v>
      </c>
      <c r="H40" s="87">
        <v>3.3</v>
      </c>
      <c r="I40" s="79" t="s">
        <v>51</v>
      </c>
      <c r="J40" s="570" t="s">
        <v>52</v>
      </c>
      <c r="K40" s="316" t="s">
        <v>52</v>
      </c>
      <c r="L40" s="316" t="s">
        <v>52</v>
      </c>
      <c r="M40" s="364" t="s">
        <v>52</v>
      </c>
      <c r="N40" s="364" t="s">
        <v>52</v>
      </c>
      <c r="O40" s="364" t="s">
        <v>52</v>
      </c>
      <c r="P40" s="364" t="s">
        <v>52</v>
      </c>
      <c r="Q40" s="364" t="s">
        <v>52</v>
      </c>
      <c r="R40" s="364" t="s">
        <v>52</v>
      </c>
      <c r="S40" s="364" t="s">
        <v>52</v>
      </c>
      <c r="T40" s="364" t="s">
        <v>52</v>
      </c>
      <c r="U40" s="364" t="s">
        <v>52</v>
      </c>
      <c r="V40" s="365" t="s">
        <v>52</v>
      </c>
      <c r="W40" s="390"/>
    </row>
    <row r="41" spans="1:23" ht="15" customHeight="1" x14ac:dyDescent="0.3">
      <c r="A41" s="53"/>
      <c r="B41" s="363" t="s">
        <v>100</v>
      </c>
      <c r="C41" s="84" t="s">
        <v>109</v>
      </c>
      <c r="D41" s="84" t="s">
        <v>66</v>
      </c>
      <c r="E41" s="84" t="s">
        <v>55</v>
      </c>
      <c r="F41" s="87">
        <v>385</v>
      </c>
      <c r="G41" s="810">
        <v>0.55000000000000004</v>
      </c>
      <c r="H41" s="87">
        <v>2</v>
      </c>
      <c r="I41" s="79" t="s">
        <v>51</v>
      </c>
      <c r="J41" s="570" t="s">
        <v>52</v>
      </c>
      <c r="K41" s="316" t="s">
        <v>52</v>
      </c>
      <c r="L41" s="316" t="s">
        <v>52</v>
      </c>
      <c r="M41" s="364" t="s">
        <v>52</v>
      </c>
      <c r="N41" s="364" t="s">
        <v>52</v>
      </c>
      <c r="O41" s="364" t="s">
        <v>52</v>
      </c>
      <c r="P41" s="364" t="s">
        <v>52</v>
      </c>
      <c r="Q41" s="364" t="s">
        <v>52</v>
      </c>
      <c r="R41" s="364" t="s">
        <v>52</v>
      </c>
      <c r="S41" s="364" t="s">
        <v>52</v>
      </c>
      <c r="T41" s="364" t="s">
        <v>52</v>
      </c>
      <c r="U41" s="364" t="s">
        <v>52</v>
      </c>
      <c r="V41" s="365" t="s">
        <v>52</v>
      </c>
      <c r="W41" s="390"/>
    </row>
    <row r="42" spans="1:23" ht="15" customHeight="1" x14ac:dyDescent="0.3">
      <c r="A42" s="53"/>
      <c r="B42" s="363" t="s">
        <v>100</v>
      </c>
      <c r="C42" s="84" t="s">
        <v>110</v>
      </c>
      <c r="D42" s="84" t="s">
        <v>54</v>
      </c>
      <c r="E42" s="84" t="s">
        <v>55</v>
      </c>
      <c r="F42" s="87">
        <v>150</v>
      </c>
      <c r="G42" s="810">
        <v>0.52</v>
      </c>
      <c r="H42" s="87">
        <v>2</v>
      </c>
      <c r="I42" s="79" t="s">
        <v>51</v>
      </c>
      <c r="J42" s="575" t="s">
        <v>52</v>
      </c>
      <c r="K42" s="364" t="s">
        <v>52</v>
      </c>
      <c r="L42" s="364" t="s">
        <v>52</v>
      </c>
      <c r="M42" s="364" t="s">
        <v>52</v>
      </c>
      <c r="N42" s="364" t="s">
        <v>52</v>
      </c>
      <c r="O42" s="364" t="s">
        <v>52</v>
      </c>
      <c r="P42" s="364" t="s">
        <v>52</v>
      </c>
      <c r="Q42" s="364" t="s">
        <v>52</v>
      </c>
      <c r="R42" s="364" t="s">
        <v>52</v>
      </c>
      <c r="S42" s="364" t="s">
        <v>52</v>
      </c>
      <c r="T42" s="364" t="s">
        <v>52</v>
      </c>
      <c r="U42" s="364" t="s">
        <v>52</v>
      </c>
      <c r="V42" s="365" t="s">
        <v>52</v>
      </c>
      <c r="W42" s="390"/>
    </row>
    <row r="43" spans="1:23" ht="15" customHeight="1" x14ac:dyDescent="0.3">
      <c r="A43" s="53"/>
      <c r="B43" s="363" t="s">
        <v>100</v>
      </c>
      <c r="C43" s="84" t="s">
        <v>111</v>
      </c>
      <c r="D43" s="84" t="s">
        <v>54</v>
      </c>
      <c r="E43" s="84" t="s">
        <v>55</v>
      </c>
      <c r="F43" s="87">
        <v>150</v>
      </c>
      <c r="G43" s="810">
        <v>0.52</v>
      </c>
      <c r="H43" s="87">
        <v>2</v>
      </c>
      <c r="I43" s="79" t="s">
        <v>51</v>
      </c>
      <c r="J43" s="575" t="s">
        <v>52</v>
      </c>
      <c r="K43" s="364" t="s">
        <v>52</v>
      </c>
      <c r="L43" s="364" t="s">
        <v>52</v>
      </c>
      <c r="M43" s="364" t="s">
        <v>52</v>
      </c>
      <c r="N43" s="364" t="s">
        <v>52</v>
      </c>
      <c r="O43" s="364" t="s">
        <v>52</v>
      </c>
      <c r="P43" s="364" t="s">
        <v>52</v>
      </c>
      <c r="Q43" s="364" t="s">
        <v>52</v>
      </c>
      <c r="R43" s="364" t="s">
        <v>52</v>
      </c>
      <c r="S43" s="364" t="s">
        <v>52</v>
      </c>
      <c r="T43" s="364" t="s">
        <v>52</v>
      </c>
      <c r="U43" s="364" t="s">
        <v>52</v>
      </c>
      <c r="V43" s="365" t="s">
        <v>52</v>
      </c>
      <c r="W43" s="390"/>
    </row>
    <row r="44" spans="1:23" ht="15" customHeight="1" x14ac:dyDescent="0.3">
      <c r="A44" s="53"/>
      <c r="B44" s="363" t="s">
        <v>100</v>
      </c>
      <c r="C44" s="84" t="s">
        <v>112</v>
      </c>
      <c r="D44" s="84" t="s">
        <v>57</v>
      </c>
      <c r="E44" s="84" t="s">
        <v>55</v>
      </c>
      <c r="F44" s="87">
        <v>170</v>
      </c>
      <c r="G44" s="810">
        <v>0.52</v>
      </c>
      <c r="H44" s="87">
        <v>2</v>
      </c>
      <c r="I44" s="79" t="s">
        <v>51</v>
      </c>
      <c r="J44" s="575" t="s">
        <v>52</v>
      </c>
      <c r="K44" s="364" t="s">
        <v>52</v>
      </c>
      <c r="L44" s="364" t="s">
        <v>52</v>
      </c>
      <c r="M44" s="380" t="s">
        <v>62</v>
      </c>
      <c r="N44" s="380" t="s">
        <v>62</v>
      </c>
      <c r="O44" s="380" t="s">
        <v>62</v>
      </c>
      <c r="P44" s="380" t="s">
        <v>62</v>
      </c>
      <c r="Q44" s="380" t="s">
        <v>62</v>
      </c>
      <c r="R44" s="380" t="s">
        <v>62</v>
      </c>
      <c r="S44" s="380" t="s">
        <v>62</v>
      </c>
      <c r="T44" s="380" t="s">
        <v>62</v>
      </c>
      <c r="U44" s="380" t="s">
        <v>62</v>
      </c>
      <c r="V44" s="381" t="s">
        <v>62</v>
      </c>
      <c r="W44" s="395" t="s">
        <v>113</v>
      </c>
    </row>
    <row r="45" spans="1:23" ht="15" customHeight="1" x14ac:dyDescent="0.3">
      <c r="A45" s="53"/>
      <c r="B45" s="363" t="s">
        <v>100</v>
      </c>
      <c r="C45" s="84" t="s">
        <v>114</v>
      </c>
      <c r="D45" s="84" t="s">
        <v>66</v>
      </c>
      <c r="E45" s="84" t="s">
        <v>55</v>
      </c>
      <c r="F45" s="87">
        <v>885</v>
      </c>
      <c r="G45" s="810">
        <v>0.6</v>
      </c>
      <c r="H45" s="87">
        <v>2</v>
      </c>
      <c r="I45" s="79" t="s">
        <v>67</v>
      </c>
      <c r="J45" s="571" t="s">
        <v>62</v>
      </c>
      <c r="K45" s="366" t="s">
        <v>62</v>
      </c>
      <c r="L45" s="366" t="s">
        <v>62</v>
      </c>
      <c r="M45" s="368" t="s">
        <v>52</v>
      </c>
      <c r="N45" s="368" t="s">
        <v>52</v>
      </c>
      <c r="O45" s="368" t="s">
        <v>52</v>
      </c>
      <c r="P45" s="368" t="s">
        <v>52</v>
      </c>
      <c r="Q45" s="368" t="s">
        <v>52</v>
      </c>
      <c r="R45" s="368" t="s">
        <v>52</v>
      </c>
      <c r="S45" s="368" t="s">
        <v>52</v>
      </c>
      <c r="T45" s="368" t="s">
        <v>52</v>
      </c>
      <c r="U45" s="368" t="s">
        <v>52</v>
      </c>
      <c r="V45" s="369" t="s">
        <v>52</v>
      </c>
      <c r="W45" s="391" t="s">
        <v>115</v>
      </c>
    </row>
    <row r="46" spans="1:23" ht="15" customHeight="1" x14ac:dyDescent="0.3">
      <c r="A46" s="53"/>
      <c r="B46" s="363" t="s">
        <v>116</v>
      </c>
      <c r="C46" s="84" t="s">
        <v>117</v>
      </c>
      <c r="D46" s="84" t="s">
        <v>77</v>
      </c>
      <c r="E46" s="84" t="s">
        <v>55</v>
      </c>
      <c r="F46" s="87">
        <v>12.9</v>
      </c>
      <c r="G46" s="810">
        <v>0.36</v>
      </c>
      <c r="H46" s="87">
        <v>3</v>
      </c>
      <c r="I46" s="79" t="s">
        <v>74</v>
      </c>
      <c r="J46" s="572" t="s">
        <v>52</v>
      </c>
      <c r="K46" s="370" t="s">
        <v>52</v>
      </c>
      <c r="L46" s="370" t="s">
        <v>52</v>
      </c>
      <c r="M46" s="371" t="s">
        <v>52</v>
      </c>
      <c r="N46" s="371" t="s">
        <v>52</v>
      </c>
      <c r="O46" s="371" t="s">
        <v>52</v>
      </c>
      <c r="P46" s="371" t="s">
        <v>52</v>
      </c>
      <c r="Q46" s="371" t="s">
        <v>52</v>
      </c>
      <c r="R46" s="371" t="s">
        <v>52</v>
      </c>
      <c r="S46" s="371" t="s">
        <v>52</v>
      </c>
      <c r="T46" s="371" t="s">
        <v>52</v>
      </c>
      <c r="U46" s="371" t="s">
        <v>52</v>
      </c>
      <c r="V46" s="372" t="s">
        <v>52</v>
      </c>
      <c r="W46" s="390"/>
    </row>
    <row r="47" spans="1:23" ht="15" customHeight="1" x14ac:dyDescent="0.3">
      <c r="A47" s="53"/>
      <c r="B47" s="363" t="s">
        <v>70</v>
      </c>
      <c r="C47" s="84" t="s">
        <v>118</v>
      </c>
      <c r="D47" s="103" t="s">
        <v>72</v>
      </c>
      <c r="E47" s="84" t="s">
        <v>73</v>
      </c>
      <c r="F47" s="87">
        <v>22</v>
      </c>
      <c r="G47" s="810">
        <v>0.42</v>
      </c>
      <c r="H47" s="87">
        <v>3</v>
      </c>
      <c r="I47" s="79" t="s">
        <v>74</v>
      </c>
      <c r="J47" s="571" t="s">
        <v>62</v>
      </c>
      <c r="K47" s="370" t="s">
        <v>52</v>
      </c>
      <c r="L47" s="370" t="s">
        <v>52</v>
      </c>
      <c r="M47" s="370" t="s">
        <v>52</v>
      </c>
      <c r="N47" s="370" t="s">
        <v>52</v>
      </c>
      <c r="O47" s="370" t="s">
        <v>52</v>
      </c>
      <c r="P47" s="370" t="s">
        <v>52</v>
      </c>
      <c r="Q47" s="370" t="s">
        <v>52</v>
      </c>
      <c r="R47" s="370" t="s">
        <v>52</v>
      </c>
      <c r="S47" s="370" t="s">
        <v>52</v>
      </c>
      <c r="T47" s="370" t="s">
        <v>52</v>
      </c>
      <c r="U47" s="370" t="s">
        <v>52</v>
      </c>
      <c r="V47" s="375" t="s">
        <v>52</v>
      </c>
      <c r="W47" s="390"/>
    </row>
    <row r="48" spans="1:23" ht="15" customHeight="1" x14ac:dyDescent="0.3">
      <c r="A48" s="53"/>
      <c r="B48" s="363" t="s">
        <v>47</v>
      </c>
      <c r="C48" s="84" t="s">
        <v>119</v>
      </c>
      <c r="D48" s="84" t="s">
        <v>77</v>
      </c>
      <c r="E48" s="84" t="s">
        <v>55</v>
      </c>
      <c r="F48" s="87">
        <v>40</v>
      </c>
      <c r="G48" s="810">
        <v>0.45</v>
      </c>
      <c r="H48" s="2">
        <v>15</v>
      </c>
      <c r="I48" s="79" t="s">
        <v>74</v>
      </c>
      <c r="J48" s="576" t="s">
        <v>52</v>
      </c>
      <c r="K48" s="371" t="s">
        <v>52</v>
      </c>
      <c r="L48" s="371" t="s">
        <v>52</v>
      </c>
      <c r="M48" s="371" t="s">
        <v>52</v>
      </c>
      <c r="N48" s="371" t="s">
        <v>52</v>
      </c>
      <c r="O48" s="371" t="s">
        <v>52</v>
      </c>
      <c r="P48" s="371" t="s">
        <v>52</v>
      </c>
      <c r="Q48" s="371" t="s">
        <v>52</v>
      </c>
      <c r="R48" s="371" t="s">
        <v>52</v>
      </c>
      <c r="S48" s="371" t="s">
        <v>52</v>
      </c>
      <c r="T48" s="371" t="s">
        <v>52</v>
      </c>
      <c r="U48" s="371" t="s">
        <v>52</v>
      </c>
      <c r="V48" s="372" t="s">
        <v>52</v>
      </c>
      <c r="W48" s="390"/>
    </row>
    <row r="49" spans="1:23" ht="15" customHeight="1" x14ac:dyDescent="0.3">
      <c r="A49" s="53"/>
      <c r="B49" s="363" t="s">
        <v>120</v>
      </c>
      <c r="C49" s="84" t="s">
        <v>121</v>
      </c>
      <c r="D49" s="84" t="s">
        <v>77</v>
      </c>
      <c r="E49" s="84" t="s">
        <v>73</v>
      </c>
      <c r="F49" s="87">
        <v>20</v>
      </c>
      <c r="G49" s="810">
        <v>0.42</v>
      </c>
      <c r="H49" s="2">
        <v>15</v>
      </c>
      <c r="I49" s="79" t="s">
        <v>74</v>
      </c>
      <c r="J49" s="572" t="s">
        <v>52</v>
      </c>
      <c r="K49" s="370" t="s">
        <v>52</v>
      </c>
      <c r="L49" s="370" t="s">
        <v>52</v>
      </c>
      <c r="M49" s="371" t="s">
        <v>52</v>
      </c>
      <c r="N49" s="371" t="s">
        <v>52</v>
      </c>
      <c r="O49" s="371" t="s">
        <v>52</v>
      </c>
      <c r="P49" s="371" t="s">
        <v>52</v>
      </c>
      <c r="Q49" s="371" t="s">
        <v>52</v>
      </c>
      <c r="R49" s="371" t="s">
        <v>52</v>
      </c>
      <c r="S49" s="371" t="s">
        <v>52</v>
      </c>
      <c r="T49" s="371" t="s">
        <v>52</v>
      </c>
      <c r="U49" s="371" t="s">
        <v>52</v>
      </c>
      <c r="V49" s="372" t="s">
        <v>52</v>
      </c>
      <c r="W49" s="390"/>
    </row>
    <row r="50" spans="1:23" ht="15" customHeight="1" x14ac:dyDescent="0.3">
      <c r="A50" s="53"/>
      <c r="B50" s="363" t="s">
        <v>47</v>
      </c>
      <c r="C50" s="84" t="s">
        <v>122</v>
      </c>
      <c r="D50" s="84" t="s">
        <v>54</v>
      </c>
      <c r="E50" s="84" t="s">
        <v>55</v>
      </c>
      <c r="F50" s="87">
        <v>157</v>
      </c>
      <c r="G50" s="810">
        <v>0.51</v>
      </c>
      <c r="H50" s="87">
        <v>2</v>
      </c>
      <c r="I50" s="79" t="s">
        <v>51</v>
      </c>
      <c r="J50" s="570" t="s">
        <v>52</v>
      </c>
      <c r="K50" s="316" t="s">
        <v>52</v>
      </c>
      <c r="L50" s="316" t="s">
        <v>52</v>
      </c>
      <c r="M50" s="364" t="s">
        <v>52</v>
      </c>
      <c r="N50" s="364" t="s">
        <v>52</v>
      </c>
      <c r="O50" s="364" t="s">
        <v>52</v>
      </c>
      <c r="P50" s="364" t="s">
        <v>52</v>
      </c>
      <c r="Q50" s="364" t="s">
        <v>52</v>
      </c>
      <c r="R50" s="364" t="s">
        <v>52</v>
      </c>
      <c r="S50" s="364" t="s">
        <v>52</v>
      </c>
      <c r="T50" s="364" t="s">
        <v>52</v>
      </c>
      <c r="U50" s="364" t="s">
        <v>52</v>
      </c>
      <c r="V50" s="365" t="s">
        <v>52</v>
      </c>
      <c r="W50" s="390"/>
    </row>
    <row r="51" spans="1:23" ht="15" customHeight="1" x14ac:dyDescent="0.3">
      <c r="A51" s="53"/>
      <c r="B51" s="363" t="s">
        <v>47</v>
      </c>
      <c r="C51" s="84" t="s">
        <v>123</v>
      </c>
      <c r="D51" s="84" t="s">
        <v>54</v>
      </c>
      <c r="E51" s="84" t="s">
        <v>55</v>
      </c>
      <c r="F51" s="87">
        <v>156.30000000000001</v>
      </c>
      <c r="G51" s="810">
        <v>0.51</v>
      </c>
      <c r="H51" s="87">
        <v>2</v>
      </c>
      <c r="I51" s="79" t="s">
        <v>51</v>
      </c>
      <c r="J51" s="570" t="s">
        <v>52</v>
      </c>
      <c r="K51" s="316" t="s">
        <v>52</v>
      </c>
      <c r="L51" s="316" t="s">
        <v>52</v>
      </c>
      <c r="M51" s="364" t="s">
        <v>52</v>
      </c>
      <c r="N51" s="364" t="s">
        <v>52</v>
      </c>
      <c r="O51" s="364" t="s">
        <v>52</v>
      </c>
      <c r="P51" s="364" t="s">
        <v>52</v>
      </c>
      <c r="Q51" s="364" t="s">
        <v>52</v>
      </c>
      <c r="R51" s="364" t="s">
        <v>52</v>
      </c>
      <c r="S51" s="364" t="s">
        <v>52</v>
      </c>
      <c r="T51" s="364" t="s">
        <v>52</v>
      </c>
      <c r="U51" s="364" t="s">
        <v>52</v>
      </c>
      <c r="V51" s="365" t="s">
        <v>52</v>
      </c>
      <c r="W51" s="390"/>
    </row>
    <row r="52" spans="1:23" ht="15" customHeight="1" x14ac:dyDescent="0.3">
      <c r="A52" s="53"/>
      <c r="B52" s="363" t="s">
        <v>47</v>
      </c>
      <c r="C52" s="84" t="s">
        <v>124</v>
      </c>
      <c r="D52" s="84" t="s">
        <v>57</v>
      </c>
      <c r="E52" s="84" t="s">
        <v>55</v>
      </c>
      <c r="F52" s="87">
        <v>167</v>
      </c>
      <c r="G52" s="810">
        <v>0.51</v>
      </c>
      <c r="H52" s="87">
        <v>2</v>
      </c>
      <c r="I52" s="79" t="s">
        <v>51</v>
      </c>
      <c r="J52" s="570" t="s">
        <v>52</v>
      </c>
      <c r="K52" s="316" t="s">
        <v>52</v>
      </c>
      <c r="L52" s="316" t="s">
        <v>52</v>
      </c>
      <c r="M52" s="364" t="s">
        <v>52</v>
      </c>
      <c r="N52" s="364" t="s">
        <v>52</v>
      </c>
      <c r="O52" s="364" t="s">
        <v>52</v>
      </c>
      <c r="P52" s="364" t="s">
        <v>52</v>
      </c>
      <c r="Q52" s="364" t="s">
        <v>52</v>
      </c>
      <c r="R52" s="364" t="s">
        <v>52</v>
      </c>
      <c r="S52" s="364" t="s">
        <v>52</v>
      </c>
      <c r="T52" s="364" t="s">
        <v>52</v>
      </c>
      <c r="U52" s="364" t="s">
        <v>52</v>
      </c>
      <c r="V52" s="365" t="s">
        <v>52</v>
      </c>
      <c r="W52" s="390"/>
    </row>
    <row r="53" spans="1:23" ht="15" customHeight="1" x14ac:dyDescent="0.3">
      <c r="A53" s="53"/>
      <c r="B53" s="363" t="s">
        <v>125</v>
      </c>
      <c r="C53" s="84" t="s">
        <v>126</v>
      </c>
      <c r="D53" s="84" t="s">
        <v>127</v>
      </c>
      <c r="E53" s="84" t="s">
        <v>55</v>
      </c>
      <c r="F53" s="373">
        <v>44.8</v>
      </c>
      <c r="G53" s="810">
        <v>0.57999999999999996</v>
      </c>
      <c r="H53" s="373">
        <v>8</v>
      </c>
      <c r="I53" s="79" t="s">
        <v>74</v>
      </c>
      <c r="J53" s="572" t="s">
        <v>52</v>
      </c>
      <c r="K53" s="370" t="s">
        <v>52</v>
      </c>
      <c r="L53" s="370" t="s">
        <v>52</v>
      </c>
      <c r="M53" s="371" t="s">
        <v>52</v>
      </c>
      <c r="N53" s="371" t="s">
        <v>52</v>
      </c>
      <c r="O53" s="371" t="s">
        <v>52</v>
      </c>
      <c r="P53" s="371" t="s">
        <v>52</v>
      </c>
      <c r="Q53" s="371" t="s">
        <v>52</v>
      </c>
      <c r="R53" s="371" t="s">
        <v>52</v>
      </c>
      <c r="S53" s="371" t="s">
        <v>52</v>
      </c>
      <c r="T53" s="371" t="s">
        <v>52</v>
      </c>
      <c r="U53" s="371" t="s">
        <v>52</v>
      </c>
      <c r="V53" s="372" t="s">
        <v>52</v>
      </c>
      <c r="W53" s="392"/>
    </row>
    <row r="54" spans="1:23" ht="15" customHeight="1" x14ac:dyDescent="0.3">
      <c r="A54" s="53"/>
      <c r="B54" s="363" t="s">
        <v>125</v>
      </c>
      <c r="C54" s="84" t="s">
        <v>128</v>
      </c>
      <c r="D54" s="84" t="s">
        <v>127</v>
      </c>
      <c r="E54" s="84" t="s">
        <v>55</v>
      </c>
      <c r="F54" s="373">
        <v>44.8</v>
      </c>
      <c r="G54" s="810">
        <v>0.57999999999999996</v>
      </c>
      <c r="H54" s="373">
        <v>8</v>
      </c>
      <c r="I54" s="79" t="s">
        <v>74</v>
      </c>
      <c r="J54" s="572" t="s">
        <v>52</v>
      </c>
      <c r="K54" s="370" t="s">
        <v>52</v>
      </c>
      <c r="L54" s="370" t="s">
        <v>52</v>
      </c>
      <c r="M54" s="371" t="s">
        <v>52</v>
      </c>
      <c r="N54" s="371" t="s">
        <v>52</v>
      </c>
      <c r="O54" s="371" t="s">
        <v>52</v>
      </c>
      <c r="P54" s="371" t="s">
        <v>52</v>
      </c>
      <c r="Q54" s="371" t="s">
        <v>52</v>
      </c>
      <c r="R54" s="371" t="s">
        <v>52</v>
      </c>
      <c r="S54" s="371" t="s">
        <v>52</v>
      </c>
      <c r="T54" s="371" t="s">
        <v>52</v>
      </c>
      <c r="U54" s="371" t="s">
        <v>52</v>
      </c>
      <c r="V54" s="372" t="s">
        <v>52</v>
      </c>
      <c r="W54" s="392"/>
    </row>
    <row r="55" spans="1:23" ht="15" customHeight="1" x14ac:dyDescent="0.3">
      <c r="A55" s="53"/>
      <c r="B55" s="363" t="s">
        <v>125</v>
      </c>
      <c r="C55" s="84" t="s">
        <v>129</v>
      </c>
      <c r="D55" s="84" t="s">
        <v>127</v>
      </c>
      <c r="E55" s="84" t="s">
        <v>55</v>
      </c>
      <c r="F55" s="373">
        <v>48.5</v>
      </c>
      <c r="G55" s="810">
        <v>0.45</v>
      </c>
      <c r="H55" s="373">
        <v>8</v>
      </c>
      <c r="I55" s="79" t="s">
        <v>74</v>
      </c>
      <c r="J55" s="572" t="s">
        <v>52</v>
      </c>
      <c r="K55" s="370" t="s">
        <v>52</v>
      </c>
      <c r="L55" s="370" t="s">
        <v>52</v>
      </c>
      <c r="M55" s="371" t="s">
        <v>52</v>
      </c>
      <c r="N55" s="371" t="s">
        <v>52</v>
      </c>
      <c r="O55" s="371" t="s">
        <v>52</v>
      </c>
      <c r="P55" s="371" t="s">
        <v>52</v>
      </c>
      <c r="Q55" s="371" t="s">
        <v>52</v>
      </c>
      <c r="R55" s="371" t="s">
        <v>52</v>
      </c>
      <c r="S55" s="371" t="s">
        <v>52</v>
      </c>
      <c r="T55" s="371" t="s">
        <v>52</v>
      </c>
      <c r="U55" s="371" t="s">
        <v>52</v>
      </c>
      <c r="V55" s="372" t="s">
        <v>52</v>
      </c>
      <c r="W55" s="392"/>
    </row>
    <row r="56" spans="1:23" ht="15" customHeight="1" x14ac:dyDescent="0.3">
      <c r="A56" s="53"/>
      <c r="B56" s="363" t="s">
        <v>130</v>
      </c>
      <c r="C56" s="84" t="s">
        <v>131</v>
      </c>
      <c r="D56" s="84" t="s">
        <v>72</v>
      </c>
      <c r="E56" s="84" t="s">
        <v>73</v>
      </c>
      <c r="F56" s="87">
        <v>32</v>
      </c>
      <c r="G56" s="810">
        <v>0.23</v>
      </c>
      <c r="H56" s="2">
        <v>15</v>
      </c>
      <c r="I56" s="79" t="s">
        <v>74</v>
      </c>
      <c r="J56" s="572" t="s">
        <v>52</v>
      </c>
      <c r="K56" s="370" t="s">
        <v>52</v>
      </c>
      <c r="L56" s="370" t="s">
        <v>52</v>
      </c>
      <c r="M56" s="371" t="s">
        <v>52</v>
      </c>
      <c r="N56" s="371" t="s">
        <v>52</v>
      </c>
      <c r="O56" s="371" t="s">
        <v>52</v>
      </c>
      <c r="P56" s="371" t="s">
        <v>52</v>
      </c>
      <c r="Q56" s="371" t="s">
        <v>52</v>
      </c>
      <c r="R56" s="371" t="s">
        <v>52</v>
      </c>
      <c r="S56" s="371" t="s">
        <v>52</v>
      </c>
      <c r="T56" s="371" t="s">
        <v>52</v>
      </c>
      <c r="U56" s="371" t="s">
        <v>52</v>
      </c>
      <c r="V56" s="372" t="s">
        <v>52</v>
      </c>
      <c r="W56" s="390"/>
    </row>
    <row r="57" spans="1:23" ht="15" customHeight="1" x14ac:dyDescent="0.3">
      <c r="A57" s="53"/>
      <c r="B57" s="363" t="s">
        <v>132</v>
      </c>
      <c r="C57" s="84" t="s">
        <v>133</v>
      </c>
      <c r="D57" s="84" t="s">
        <v>72</v>
      </c>
      <c r="E57" s="84" t="s">
        <v>73</v>
      </c>
      <c r="F57" s="87">
        <v>34</v>
      </c>
      <c r="G57" s="810">
        <v>0.23</v>
      </c>
      <c r="H57" s="2">
        <v>15</v>
      </c>
      <c r="I57" s="79" t="s">
        <v>74</v>
      </c>
      <c r="J57" s="572" t="s">
        <v>52</v>
      </c>
      <c r="K57" s="370" t="s">
        <v>52</v>
      </c>
      <c r="L57" s="370" t="s">
        <v>52</v>
      </c>
      <c r="M57" s="371" t="s">
        <v>52</v>
      </c>
      <c r="N57" s="371" t="s">
        <v>52</v>
      </c>
      <c r="O57" s="371" t="s">
        <v>52</v>
      </c>
      <c r="P57" s="371" t="s">
        <v>52</v>
      </c>
      <c r="Q57" s="371" t="s">
        <v>52</v>
      </c>
      <c r="R57" s="371" t="s">
        <v>52</v>
      </c>
      <c r="S57" s="371" t="s">
        <v>52</v>
      </c>
      <c r="T57" s="371" t="s">
        <v>52</v>
      </c>
      <c r="U57" s="371" t="s">
        <v>52</v>
      </c>
      <c r="V57" s="372" t="s">
        <v>52</v>
      </c>
      <c r="W57" s="390"/>
    </row>
    <row r="58" spans="1:23" ht="15" customHeight="1" x14ac:dyDescent="0.3">
      <c r="A58" s="53"/>
      <c r="B58" s="363" t="s">
        <v>47</v>
      </c>
      <c r="C58" s="84" t="s">
        <v>134</v>
      </c>
      <c r="D58" s="84" t="s">
        <v>72</v>
      </c>
      <c r="E58" s="84" t="s">
        <v>73</v>
      </c>
      <c r="F58" s="87">
        <v>12</v>
      </c>
      <c r="G58" s="810">
        <v>0.36</v>
      </c>
      <c r="H58" s="2">
        <v>15</v>
      </c>
      <c r="I58" s="79" t="s">
        <v>74</v>
      </c>
      <c r="J58" s="572" t="s">
        <v>52</v>
      </c>
      <c r="K58" s="371" t="s">
        <v>52</v>
      </c>
      <c r="L58" s="370" t="s">
        <v>52</v>
      </c>
      <c r="M58" s="371" t="s">
        <v>52</v>
      </c>
      <c r="N58" s="371" t="s">
        <v>52</v>
      </c>
      <c r="O58" s="371" t="s">
        <v>52</v>
      </c>
      <c r="P58" s="371" t="s">
        <v>52</v>
      </c>
      <c r="Q58" s="371" t="s">
        <v>52</v>
      </c>
      <c r="R58" s="371" t="s">
        <v>52</v>
      </c>
      <c r="S58" s="371" t="s">
        <v>52</v>
      </c>
      <c r="T58" s="371" t="s">
        <v>52</v>
      </c>
      <c r="U58" s="371" t="s">
        <v>52</v>
      </c>
      <c r="V58" s="372" t="s">
        <v>52</v>
      </c>
      <c r="W58" s="390"/>
    </row>
    <row r="59" spans="1:23" ht="15" customHeight="1" x14ac:dyDescent="0.3">
      <c r="A59" s="53"/>
      <c r="B59" s="363" t="s">
        <v>135</v>
      </c>
      <c r="C59" s="84" t="s">
        <v>135</v>
      </c>
      <c r="D59" s="84" t="s">
        <v>72</v>
      </c>
      <c r="E59" s="84" t="s">
        <v>73</v>
      </c>
      <c r="F59" s="87">
        <v>16</v>
      </c>
      <c r="G59" s="810">
        <v>0.36</v>
      </c>
      <c r="H59" s="2">
        <v>15</v>
      </c>
      <c r="I59" s="79" t="s">
        <v>74</v>
      </c>
      <c r="J59" s="572" t="s">
        <v>52</v>
      </c>
      <c r="K59" s="370" t="s">
        <v>52</v>
      </c>
      <c r="L59" s="370" t="s">
        <v>52</v>
      </c>
      <c r="M59" s="371" t="s">
        <v>52</v>
      </c>
      <c r="N59" s="371" t="s">
        <v>52</v>
      </c>
      <c r="O59" s="371" t="s">
        <v>52</v>
      </c>
      <c r="P59" s="371" t="s">
        <v>52</v>
      </c>
      <c r="Q59" s="371" t="s">
        <v>52</v>
      </c>
      <c r="R59" s="371" t="s">
        <v>52</v>
      </c>
      <c r="S59" s="371" t="s">
        <v>52</v>
      </c>
      <c r="T59" s="371" t="s">
        <v>52</v>
      </c>
      <c r="U59" s="371" t="s">
        <v>52</v>
      </c>
      <c r="V59" s="372" t="s">
        <v>52</v>
      </c>
      <c r="W59" s="390"/>
    </row>
    <row r="60" spans="1:23" ht="15" customHeight="1" x14ac:dyDescent="0.3">
      <c r="A60" s="53"/>
      <c r="B60" s="363" t="s">
        <v>100</v>
      </c>
      <c r="C60" s="84" t="s">
        <v>136</v>
      </c>
      <c r="D60" s="84" t="s">
        <v>77</v>
      </c>
      <c r="E60" s="84" t="s">
        <v>55</v>
      </c>
      <c r="F60" s="87">
        <v>20</v>
      </c>
      <c r="G60" s="810">
        <v>0.34</v>
      </c>
      <c r="H60" s="2">
        <v>15</v>
      </c>
      <c r="I60" s="79" t="s">
        <v>74</v>
      </c>
      <c r="J60" s="572" t="s">
        <v>52</v>
      </c>
      <c r="K60" s="370" t="s">
        <v>52</v>
      </c>
      <c r="L60" s="370" t="s">
        <v>52</v>
      </c>
      <c r="M60" s="371" t="s">
        <v>52</v>
      </c>
      <c r="N60" s="371" t="s">
        <v>52</v>
      </c>
      <c r="O60" s="371" t="s">
        <v>52</v>
      </c>
      <c r="P60" s="371" t="s">
        <v>52</v>
      </c>
      <c r="Q60" s="371" t="s">
        <v>52</v>
      </c>
      <c r="R60" s="371" t="s">
        <v>52</v>
      </c>
      <c r="S60" s="371" t="s">
        <v>52</v>
      </c>
      <c r="T60" s="371" t="s">
        <v>52</v>
      </c>
      <c r="U60" s="371" t="s">
        <v>52</v>
      </c>
      <c r="V60" s="372" t="s">
        <v>52</v>
      </c>
      <c r="W60" s="390"/>
    </row>
    <row r="61" spans="1:23" ht="15" customHeight="1" x14ac:dyDescent="0.3">
      <c r="A61" s="53"/>
      <c r="B61" s="363" t="s">
        <v>137</v>
      </c>
      <c r="C61" s="84" t="s">
        <v>138</v>
      </c>
      <c r="D61" s="84" t="s">
        <v>77</v>
      </c>
      <c r="E61" s="84" t="s">
        <v>55</v>
      </c>
      <c r="F61" s="87">
        <v>48</v>
      </c>
      <c r="G61" s="810">
        <v>0.45</v>
      </c>
      <c r="H61" s="87">
        <v>3.3</v>
      </c>
      <c r="I61" s="79" t="s">
        <v>74</v>
      </c>
      <c r="J61" s="572" t="s">
        <v>52</v>
      </c>
      <c r="K61" s="370" t="s">
        <v>52</v>
      </c>
      <c r="L61" s="370" t="s">
        <v>52</v>
      </c>
      <c r="M61" s="371" t="s">
        <v>52</v>
      </c>
      <c r="N61" s="371" t="s">
        <v>52</v>
      </c>
      <c r="O61" s="371" t="s">
        <v>52</v>
      </c>
      <c r="P61" s="371" t="s">
        <v>52</v>
      </c>
      <c r="Q61" s="371" t="s">
        <v>52</v>
      </c>
      <c r="R61" s="371" t="s">
        <v>52</v>
      </c>
      <c r="S61" s="371" t="s">
        <v>52</v>
      </c>
      <c r="T61" s="371" t="s">
        <v>52</v>
      </c>
      <c r="U61" s="371" t="s">
        <v>52</v>
      </c>
      <c r="V61" s="372" t="s">
        <v>52</v>
      </c>
      <c r="W61" s="390"/>
    </row>
    <row r="62" spans="1:23" ht="15" customHeight="1" x14ac:dyDescent="0.3">
      <c r="A62" s="53"/>
      <c r="B62" s="363" t="s">
        <v>137</v>
      </c>
      <c r="C62" s="84" t="s">
        <v>139</v>
      </c>
      <c r="D62" s="84" t="s">
        <v>77</v>
      </c>
      <c r="E62" s="84" t="s">
        <v>55</v>
      </c>
      <c r="F62" s="87">
        <v>48</v>
      </c>
      <c r="G62" s="810">
        <v>0.45</v>
      </c>
      <c r="H62" s="87">
        <v>3.3</v>
      </c>
      <c r="I62" s="79" t="s">
        <v>74</v>
      </c>
      <c r="J62" s="572" t="s">
        <v>52</v>
      </c>
      <c r="K62" s="370" t="s">
        <v>52</v>
      </c>
      <c r="L62" s="370" t="s">
        <v>52</v>
      </c>
      <c r="M62" s="371" t="s">
        <v>52</v>
      </c>
      <c r="N62" s="371" t="s">
        <v>52</v>
      </c>
      <c r="O62" s="371" t="s">
        <v>52</v>
      </c>
      <c r="P62" s="371" t="s">
        <v>52</v>
      </c>
      <c r="Q62" s="371" t="s">
        <v>52</v>
      </c>
      <c r="R62" s="371" t="s">
        <v>52</v>
      </c>
      <c r="S62" s="371" t="s">
        <v>52</v>
      </c>
      <c r="T62" s="371" t="s">
        <v>52</v>
      </c>
      <c r="U62" s="371" t="s">
        <v>52</v>
      </c>
      <c r="V62" s="372" t="s">
        <v>52</v>
      </c>
      <c r="W62" s="390"/>
    </row>
    <row r="63" spans="1:23" ht="15" customHeight="1" x14ac:dyDescent="0.3">
      <c r="A63" s="53"/>
      <c r="B63" s="363" t="s">
        <v>137</v>
      </c>
      <c r="C63" s="84" t="s">
        <v>140</v>
      </c>
      <c r="D63" s="84" t="s">
        <v>77</v>
      </c>
      <c r="E63" s="84" t="s">
        <v>55</v>
      </c>
      <c r="F63" s="87">
        <v>10</v>
      </c>
      <c r="G63" s="810">
        <v>0.45</v>
      </c>
      <c r="H63" s="87">
        <v>3.3</v>
      </c>
      <c r="I63" s="79" t="s">
        <v>74</v>
      </c>
      <c r="J63" s="572" t="s">
        <v>52</v>
      </c>
      <c r="K63" s="370" t="s">
        <v>52</v>
      </c>
      <c r="L63" s="370" t="s">
        <v>52</v>
      </c>
      <c r="M63" s="371" t="s">
        <v>52</v>
      </c>
      <c r="N63" s="371" t="s">
        <v>52</v>
      </c>
      <c r="O63" s="371" t="s">
        <v>52</v>
      </c>
      <c r="P63" s="371" t="s">
        <v>52</v>
      </c>
      <c r="Q63" s="371" t="s">
        <v>52</v>
      </c>
      <c r="R63" s="371" t="s">
        <v>52</v>
      </c>
      <c r="S63" s="371" t="s">
        <v>52</v>
      </c>
      <c r="T63" s="371" t="s">
        <v>52</v>
      </c>
      <c r="U63" s="371" t="s">
        <v>52</v>
      </c>
      <c r="V63" s="372" t="s">
        <v>52</v>
      </c>
      <c r="W63" s="390"/>
    </row>
    <row r="64" spans="1:23" ht="15" customHeight="1" x14ac:dyDescent="0.3">
      <c r="A64" s="53"/>
      <c r="B64" s="363" t="s">
        <v>141</v>
      </c>
      <c r="C64" s="84" t="s">
        <v>142</v>
      </c>
      <c r="D64" s="84" t="s">
        <v>77</v>
      </c>
      <c r="E64" s="84" t="s">
        <v>55</v>
      </c>
      <c r="F64" s="87">
        <v>43</v>
      </c>
      <c r="G64" s="810">
        <v>0.45</v>
      </c>
      <c r="H64" s="87">
        <v>3.3</v>
      </c>
      <c r="I64" s="79" t="s">
        <v>74</v>
      </c>
      <c r="J64" s="572" t="s">
        <v>52</v>
      </c>
      <c r="K64" s="370" t="s">
        <v>52</v>
      </c>
      <c r="L64" s="370" t="s">
        <v>52</v>
      </c>
      <c r="M64" s="371" t="s">
        <v>52</v>
      </c>
      <c r="N64" s="371" t="s">
        <v>52</v>
      </c>
      <c r="O64" s="371" t="s">
        <v>52</v>
      </c>
      <c r="P64" s="371" t="s">
        <v>52</v>
      </c>
      <c r="Q64" s="371" t="s">
        <v>52</v>
      </c>
      <c r="R64" s="371" t="s">
        <v>52</v>
      </c>
      <c r="S64" s="371" t="s">
        <v>52</v>
      </c>
      <c r="T64" s="371" t="s">
        <v>52</v>
      </c>
      <c r="U64" s="371" t="s">
        <v>52</v>
      </c>
      <c r="V64" s="372" t="s">
        <v>52</v>
      </c>
      <c r="W64" s="390"/>
    </row>
    <row r="65" spans="1:23" ht="15" customHeight="1" x14ac:dyDescent="0.3">
      <c r="A65" s="53"/>
      <c r="B65" s="363" t="s">
        <v>141</v>
      </c>
      <c r="C65" s="84" t="s">
        <v>143</v>
      </c>
      <c r="D65" s="84" t="s">
        <v>77</v>
      </c>
      <c r="E65" s="84" t="s">
        <v>55</v>
      </c>
      <c r="F65" s="87">
        <v>32</v>
      </c>
      <c r="G65" s="810">
        <v>0.45</v>
      </c>
      <c r="H65" s="87">
        <v>3.3</v>
      </c>
      <c r="I65" s="79" t="s">
        <v>74</v>
      </c>
      <c r="J65" s="572" t="s">
        <v>52</v>
      </c>
      <c r="K65" s="370" t="s">
        <v>52</v>
      </c>
      <c r="L65" s="370" t="s">
        <v>52</v>
      </c>
      <c r="M65" s="371" t="s">
        <v>52</v>
      </c>
      <c r="N65" s="371" t="s">
        <v>52</v>
      </c>
      <c r="O65" s="371" t="s">
        <v>52</v>
      </c>
      <c r="P65" s="371" t="s">
        <v>52</v>
      </c>
      <c r="Q65" s="371" t="s">
        <v>52</v>
      </c>
      <c r="R65" s="371" t="s">
        <v>52</v>
      </c>
      <c r="S65" s="371" t="s">
        <v>52</v>
      </c>
      <c r="T65" s="371" t="s">
        <v>52</v>
      </c>
      <c r="U65" s="371" t="s">
        <v>52</v>
      </c>
      <c r="V65" s="372" t="s">
        <v>52</v>
      </c>
      <c r="W65" s="390"/>
    </row>
    <row r="66" spans="1:23" ht="15" customHeight="1" x14ac:dyDescent="0.3">
      <c r="A66" s="53"/>
      <c r="B66" s="363" t="s">
        <v>141</v>
      </c>
      <c r="C66" s="84" t="s">
        <v>144</v>
      </c>
      <c r="D66" s="84" t="s">
        <v>77</v>
      </c>
      <c r="E66" s="84" t="s">
        <v>55</v>
      </c>
      <c r="F66" s="87">
        <v>10</v>
      </c>
      <c r="G66" s="810">
        <v>0.45</v>
      </c>
      <c r="H66" s="87">
        <v>3.3</v>
      </c>
      <c r="I66" s="79" t="s">
        <v>74</v>
      </c>
      <c r="J66" s="572" t="s">
        <v>52</v>
      </c>
      <c r="K66" s="370" t="s">
        <v>52</v>
      </c>
      <c r="L66" s="370" t="s">
        <v>52</v>
      </c>
      <c r="M66" s="371" t="s">
        <v>52</v>
      </c>
      <c r="N66" s="371" t="s">
        <v>52</v>
      </c>
      <c r="O66" s="371" t="s">
        <v>52</v>
      </c>
      <c r="P66" s="371" t="s">
        <v>52</v>
      </c>
      <c r="Q66" s="371" t="s">
        <v>52</v>
      </c>
      <c r="R66" s="371" t="s">
        <v>52</v>
      </c>
      <c r="S66" s="371" t="s">
        <v>52</v>
      </c>
      <c r="T66" s="371" t="s">
        <v>52</v>
      </c>
      <c r="U66" s="371" t="s">
        <v>52</v>
      </c>
      <c r="V66" s="372" t="s">
        <v>52</v>
      </c>
      <c r="W66" s="390"/>
    </row>
    <row r="67" spans="1:23" ht="15" customHeight="1" x14ac:dyDescent="0.3">
      <c r="A67" s="56"/>
      <c r="B67" s="363" t="s">
        <v>145</v>
      </c>
      <c r="C67" s="84" t="s">
        <v>146</v>
      </c>
      <c r="D67" s="84" t="s">
        <v>66</v>
      </c>
      <c r="E67" s="84" t="s">
        <v>55</v>
      </c>
      <c r="F67" s="87">
        <v>413</v>
      </c>
      <c r="G67" s="810">
        <v>0.52</v>
      </c>
      <c r="H67" s="87">
        <v>2</v>
      </c>
      <c r="I67" s="79" t="s">
        <v>51</v>
      </c>
      <c r="J67" s="570" t="s">
        <v>52</v>
      </c>
      <c r="K67" s="316" t="s">
        <v>52</v>
      </c>
      <c r="L67" s="316" t="s">
        <v>52</v>
      </c>
      <c r="M67" s="364" t="s">
        <v>52</v>
      </c>
      <c r="N67" s="364" t="s">
        <v>52</v>
      </c>
      <c r="O67" s="364" t="s">
        <v>52</v>
      </c>
      <c r="P67" s="364" t="s">
        <v>52</v>
      </c>
      <c r="Q67" s="364" t="s">
        <v>52</v>
      </c>
      <c r="R67" s="364" t="s">
        <v>52</v>
      </c>
      <c r="S67" s="364" t="s">
        <v>52</v>
      </c>
      <c r="T67" s="364" t="s">
        <v>52</v>
      </c>
      <c r="U67" s="364" t="s">
        <v>52</v>
      </c>
      <c r="V67" s="365" t="s">
        <v>52</v>
      </c>
      <c r="W67" s="390"/>
    </row>
    <row r="68" spans="1:23" ht="15" customHeight="1" x14ac:dyDescent="0.3">
      <c r="A68" s="56"/>
      <c r="B68" s="363" t="s">
        <v>47</v>
      </c>
      <c r="C68" s="84" t="s">
        <v>147</v>
      </c>
      <c r="D68" s="84" t="s">
        <v>77</v>
      </c>
      <c r="E68" s="84" t="s">
        <v>55</v>
      </c>
      <c r="F68" s="87">
        <v>43</v>
      </c>
      <c r="G68" s="810">
        <v>0.45</v>
      </c>
      <c r="H68" s="87">
        <v>3.3</v>
      </c>
      <c r="I68" s="79" t="s">
        <v>74</v>
      </c>
      <c r="J68" s="572" t="s">
        <v>52</v>
      </c>
      <c r="K68" s="370" t="s">
        <v>52</v>
      </c>
      <c r="L68" s="370" t="s">
        <v>52</v>
      </c>
      <c r="M68" s="371" t="s">
        <v>52</v>
      </c>
      <c r="N68" s="371" t="s">
        <v>52</v>
      </c>
      <c r="O68" s="371" t="s">
        <v>52</v>
      </c>
      <c r="P68" s="371" t="s">
        <v>52</v>
      </c>
      <c r="Q68" s="371" t="s">
        <v>52</v>
      </c>
      <c r="R68" s="371" t="s">
        <v>52</v>
      </c>
      <c r="S68" s="371" t="s">
        <v>52</v>
      </c>
      <c r="T68" s="371" t="s">
        <v>52</v>
      </c>
      <c r="U68" s="371" t="s">
        <v>52</v>
      </c>
      <c r="V68" s="372" t="s">
        <v>52</v>
      </c>
      <c r="W68" s="390"/>
    </row>
    <row r="69" spans="1:23" ht="15" customHeight="1" x14ac:dyDescent="0.3">
      <c r="A69" s="56"/>
      <c r="B69" s="363" t="s">
        <v>47</v>
      </c>
      <c r="C69" s="84" t="s">
        <v>148</v>
      </c>
      <c r="D69" s="84" t="s">
        <v>49</v>
      </c>
      <c r="E69" s="84" t="s">
        <v>50</v>
      </c>
      <c r="F69" s="87">
        <v>18</v>
      </c>
      <c r="G69" s="810">
        <v>0.26</v>
      </c>
      <c r="H69" s="87">
        <v>3.3</v>
      </c>
      <c r="I69" s="79" t="s">
        <v>51</v>
      </c>
      <c r="J69" s="570" t="s">
        <v>52</v>
      </c>
      <c r="K69" s="316" t="s">
        <v>52</v>
      </c>
      <c r="L69" s="316" t="s">
        <v>52</v>
      </c>
      <c r="M69" s="364" t="s">
        <v>52</v>
      </c>
      <c r="N69" s="364" t="s">
        <v>52</v>
      </c>
      <c r="O69" s="364" t="s">
        <v>52</v>
      </c>
      <c r="P69" s="364" t="s">
        <v>52</v>
      </c>
      <c r="Q69" s="364" t="s">
        <v>52</v>
      </c>
      <c r="R69" s="364" t="s">
        <v>52</v>
      </c>
      <c r="S69" s="364" t="s">
        <v>52</v>
      </c>
      <c r="T69" s="364" t="s">
        <v>52</v>
      </c>
      <c r="U69" s="364" t="s">
        <v>52</v>
      </c>
      <c r="V69" s="365" t="s">
        <v>52</v>
      </c>
      <c r="W69" s="390"/>
    </row>
    <row r="70" spans="1:23" ht="15" customHeight="1" x14ac:dyDescent="0.3">
      <c r="A70" s="56"/>
      <c r="B70" s="363" t="s">
        <v>47</v>
      </c>
      <c r="C70" s="84" t="s">
        <v>149</v>
      </c>
      <c r="D70" s="84" t="s">
        <v>77</v>
      </c>
      <c r="E70" s="84" t="s">
        <v>55</v>
      </c>
      <c r="F70" s="87">
        <v>43</v>
      </c>
      <c r="G70" s="810">
        <v>0.45</v>
      </c>
      <c r="H70" s="87">
        <v>3.3</v>
      </c>
      <c r="I70" s="79" t="s">
        <v>74</v>
      </c>
      <c r="J70" s="572" t="s">
        <v>52</v>
      </c>
      <c r="K70" s="370" t="s">
        <v>52</v>
      </c>
      <c r="L70" s="370" t="s">
        <v>52</v>
      </c>
      <c r="M70" s="371" t="s">
        <v>52</v>
      </c>
      <c r="N70" s="371" t="s">
        <v>52</v>
      </c>
      <c r="O70" s="371" t="s">
        <v>52</v>
      </c>
      <c r="P70" s="371" t="s">
        <v>52</v>
      </c>
      <c r="Q70" s="371" t="s">
        <v>52</v>
      </c>
      <c r="R70" s="371" t="s">
        <v>52</v>
      </c>
      <c r="S70" s="371" t="s">
        <v>52</v>
      </c>
      <c r="T70" s="371" t="s">
        <v>52</v>
      </c>
      <c r="U70" s="371" t="s">
        <v>52</v>
      </c>
      <c r="V70" s="372" t="s">
        <v>52</v>
      </c>
      <c r="W70" s="390"/>
    </row>
    <row r="71" spans="1:23" ht="15" customHeight="1" x14ac:dyDescent="0.3">
      <c r="A71" s="56"/>
      <c r="B71" s="363" t="s">
        <v>47</v>
      </c>
      <c r="C71" s="84" t="s">
        <v>150</v>
      </c>
      <c r="D71" s="84" t="s">
        <v>59</v>
      </c>
      <c r="E71" s="84" t="s">
        <v>60</v>
      </c>
      <c r="F71" s="87">
        <v>205</v>
      </c>
      <c r="G71" s="810">
        <v>0.38</v>
      </c>
      <c r="H71" s="87">
        <v>3</v>
      </c>
      <c r="I71" s="79" t="s">
        <v>61</v>
      </c>
      <c r="J71" s="576" t="s">
        <v>52</v>
      </c>
      <c r="K71" s="380" t="s">
        <v>62</v>
      </c>
      <c r="L71" s="380" t="s">
        <v>62</v>
      </c>
      <c r="M71" s="380" t="s">
        <v>62</v>
      </c>
      <c r="N71" s="380" t="s">
        <v>62</v>
      </c>
      <c r="O71" s="380" t="s">
        <v>62</v>
      </c>
      <c r="P71" s="380" t="s">
        <v>62</v>
      </c>
      <c r="Q71" s="380" t="s">
        <v>62</v>
      </c>
      <c r="R71" s="380" t="s">
        <v>62</v>
      </c>
      <c r="S71" s="380" t="s">
        <v>62</v>
      </c>
      <c r="T71" s="380" t="s">
        <v>62</v>
      </c>
      <c r="U71" s="380" t="s">
        <v>62</v>
      </c>
      <c r="V71" s="381" t="s">
        <v>62</v>
      </c>
      <c r="W71" s="391" t="s">
        <v>151</v>
      </c>
    </row>
    <row r="72" spans="1:23" ht="15" customHeight="1" x14ac:dyDescent="0.3">
      <c r="A72" s="56"/>
      <c r="B72" s="363" t="s">
        <v>47</v>
      </c>
      <c r="C72" s="84" t="s">
        <v>152</v>
      </c>
      <c r="D72" s="84" t="s">
        <v>66</v>
      </c>
      <c r="E72" s="84" t="s">
        <v>55</v>
      </c>
      <c r="F72" s="87">
        <v>378</v>
      </c>
      <c r="G72" s="810">
        <v>0.51</v>
      </c>
      <c r="H72" s="87">
        <v>2</v>
      </c>
      <c r="I72" s="79" t="s">
        <v>51</v>
      </c>
      <c r="J72" s="575" t="s">
        <v>52</v>
      </c>
      <c r="K72" s="364" t="s">
        <v>52</v>
      </c>
      <c r="L72" s="364" t="s">
        <v>52</v>
      </c>
      <c r="M72" s="364" t="s">
        <v>52</v>
      </c>
      <c r="N72" s="364" t="s">
        <v>52</v>
      </c>
      <c r="O72" s="364" t="s">
        <v>52</v>
      </c>
      <c r="P72" s="364" t="s">
        <v>52</v>
      </c>
      <c r="Q72" s="364" t="s">
        <v>52</v>
      </c>
      <c r="R72" s="364" t="s">
        <v>52</v>
      </c>
      <c r="S72" s="364" t="s">
        <v>52</v>
      </c>
      <c r="T72" s="364" t="s">
        <v>52</v>
      </c>
      <c r="U72" s="364" t="s">
        <v>52</v>
      </c>
      <c r="V72" s="365" t="s">
        <v>52</v>
      </c>
      <c r="W72" s="391" t="s">
        <v>153</v>
      </c>
    </row>
    <row r="73" spans="1:23" ht="15" customHeight="1" x14ac:dyDescent="0.3">
      <c r="A73" s="56"/>
      <c r="B73" s="363" t="s">
        <v>47</v>
      </c>
      <c r="C73" s="84" t="s">
        <v>154</v>
      </c>
      <c r="D73" s="84" t="s">
        <v>77</v>
      </c>
      <c r="E73" s="84" t="s">
        <v>55</v>
      </c>
      <c r="F73" s="87">
        <v>43</v>
      </c>
      <c r="G73" s="810">
        <v>0.45</v>
      </c>
      <c r="H73" s="87">
        <v>3.3</v>
      </c>
      <c r="I73" s="79" t="s">
        <v>74</v>
      </c>
      <c r="J73" s="572" t="s">
        <v>52</v>
      </c>
      <c r="K73" s="370" t="s">
        <v>52</v>
      </c>
      <c r="L73" s="370" t="s">
        <v>52</v>
      </c>
      <c r="M73" s="371" t="s">
        <v>52</v>
      </c>
      <c r="N73" s="371" t="s">
        <v>52</v>
      </c>
      <c r="O73" s="371" t="s">
        <v>52</v>
      </c>
      <c r="P73" s="371" t="s">
        <v>52</v>
      </c>
      <c r="Q73" s="371" t="s">
        <v>52</v>
      </c>
      <c r="R73" s="371" t="s">
        <v>52</v>
      </c>
      <c r="S73" s="371" t="s">
        <v>52</v>
      </c>
      <c r="T73" s="371" t="s">
        <v>52</v>
      </c>
      <c r="U73" s="371" t="s">
        <v>52</v>
      </c>
      <c r="V73" s="372" t="s">
        <v>52</v>
      </c>
      <c r="W73" s="390"/>
    </row>
    <row r="74" spans="1:23" ht="15" customHeight="1" x14ac:dyDescent="0.3">
      <c r="A74" s="56"/>
      <c r="B74" s="363" t="s">
        <v>47</v>
      </c>
      <c r="C74" s="84" t="s">
        <v>155</v>
      </c>
      <c r="D74" s="84" t="s">
        <v>72</v>
      </c>
      <c r="E74" s="84" t="s">
        <v>73</v>
      </c>
      <c r="F74" s="87">
        <v>15</v>
      </c>
      <c r="G74" s="810">
        <v>0.36</v>
      </c>
      <c r="H74" s="2">
        <v>15</v>
      </c>
      <c r="I74" s="79" t="s">
        <v>74</v>
      </c>
      <c r="J74" s="572" t="s">
        <v>52</v>
      </c>
      <c r="K74" s="370" t="s">
        <v>52</v>
      </c>
      <c r="L74" s="370" t="s">
        <v>52</v>
      </c>
      <c r="M74" s="371" t="s">
        <v>52</v>
      </c>
      <c r="N74" s="371" t="s">
        <v>52</v>
      </c>
      <c r="O74" s="371" t="s">
        <v>52</v>
      </c>
      <c r="P74" s="371" t="s">
        <v>52</v>
      </c>
      <c r="Q74" s="371" t="s">
        <v>52</v>
      </c>
      <c r="R74" s="371" t="s">
        <v>52</v>
      </c>
      <c r="S74" s="371" t="s">
        <v>52</v>
      </c>
      <c r="T74" s="371" t="s">
        <v>52</v>
      </c>
      <c r="U74" s="371" t="s">
        <v>52</v>
      </c>
      <c r="V74" s="372" t="s">
        <v>52</v>
      </c>
      <c r="W74" s="390"/>
    </row>
    <row r="75" spans="1:23" ht="15" customHeight="1" x14ac:dyDescent="0.3">
      <c r="A75" s="53"/>
      <c r="B75" s="363" t="s">
        <v>47</v>
      </c>
      <c r="C75" s="84" t="s">
        <v>156</v>
      </c>
      <c r="D75" s="84" t="s">
        <v>72</v>
      </c>
      <c r="E75" s="84" t="s">
        <v>73</v>
      </c>
      <c r="F75" s="87">
        <v>15</v>
      </c>
      <c r="G75" s="810">
        <v>0.36</v>
      </c>
      <c r="H75" s="2">
        <v>15</v>
      </c>
      <c r="I75" s="79" t="s">
        <v>74</v>
      </c>
      <c r="J75" s="572" t="s">
        <v>52</v>
      </c>
      <c r="K75" s="370" t="s">
        <v>52</v>
      </c>
      <c r="L75" s="370" t="s">
        <v>52</v>
      </c>
      <c r="M75" s="371" t="s">
        <v>52</v>
      </c>
      <c r="N75" s="371" t="s">
        <v>52</v>
      </c>
      <c r="O75" s="371" t="s">
        <v>52</v>
      </c>
      <c r="P75" s="371" t="s">
        <v>52</v>
      </c>
      <c r="Q75" s="371" t="s">
        <v>52</v>
      </c>
      <c r="R75" s="371" t="s">
        <v>52</v>
      </c>
      <c r="S75" s="371" t="s">
        <v>52</v>
      </c>
      <c r="T75" s="371" t="s">
        <v>52</v>
      </c>
      <c r="U75" s="371" t="s">
        <v>52</v>
      </c>
      <c r="V75" s="372" t="s">
        <v>52</v>
      </c>
      <c r="W75" s="390"/>
    </row>
    <row r="76" spans="1:23" ht="15" customHeight="1" x14ac:dyDescent="0.3">
      <c r="A76" s="56"/>
      <c r="B76" s="363" t="s">
        <v>47</v>
      </c>
      <c r="C76" s="84" t="s">
        <v>157</v>
      </c>
      <c r="D76" s="84" t="s">
        <v>72</v>
      </c>
      <c r="E76" s="84" t="s">
        <v>73</v>
      </c>
      <c r="F76" s="87">
        <v>15</v>
      </c>
      <c r="G76" s="810">
        <v>0.36</v>
      </c>
      <c r="H76" s="2">
        <v>15</v>
      </c>
      <c r="I76" s="79" t="s">
        <v>74</v>
      </c>
      <c r="J76" s="572" t="s">
        <v>52</v>
      </c>
      <c r="K76" s="370" t="s">
        <v>52</v>
      </c>
      <c r="L76" s="370" t="s">
        <v>52</v>
      </c>
      <c r="M76" s="371" t="s">
        <v>52</v>
      </c>
      <c r="N76" s="371" t="s">
        <v>52</v>
      </c>
      <c r="O76" s="371" t="s">
        <v>52</v>
      </c>
      <c r="P76" s="371" t="s">
        <v>52</v>
      </c>
      <c r="Q76" s="371" t="s">
        <v>52</v>
      </c>
      <c r="R76" s="371" t="s">
        <v>52</v>
      </c>
      <c r="S76" s="371" t="s">
        <v>52</v>
      </c>
      <c r="T76" s="371" t="s">
        <v>52</v>
      </c>
      <c r="U76" s="371" t="s">
        <v>52</v>
      </c>
      <c r="V76" s="372" t="s">
        <v>52</v>
      </c>
      <c r="W76" s="390"/>
    </row>
    <row r="77" spans="1:23" ht="15" customHeight="1" x14ac:dyDescent="0.3">
      <c r="A77" s="56"/>
      <c r="B77" s="363" t="s">
        <v>158</v>
      </c>
      <c r="C77" s="84" t="s">
        <v>159</v>
      </c>
      <c r="D77" s="84" t="s">
        <v>77</v>
      </c>
      <c r="E77" s="84" t="s">
        <v>55</v>
      </c>
      <c r="F77" s="87">
        <v>140</v>
      </c>
      <c r="G77" s="810">
        <v>0.45</v>
      </c>
      <c r="H77" s="87">
        <v>3.3</v>
      </c>
      <c r="I77" s="79" t="s">
        <v>74</v>
      </c>
      <c r="J77" s="572" t="s">
        <v>52</v>
      </c>
      <c r="K77" s="370" t="s">
        <v>52</v>
      </c>
      <c r="L77" s="370" t="s">
        <v>52</v>
      </c>
      <c r="M77" s="371" t="s">
        <v>52</v>
      </c>
      <c r="N77" s="371" t="s">
        <v>52</v>
      </c>
      <c r="O77" s="371" t="s">
        <v>52</v>
      </c>
      <c r="P77" s="371" t="s">
        <v>52</v>
      </c>
      <c r="Q77" s="371" t="s">
        <v>52</v>
      </c>
      <c r="R77" s="371" t="s">
        <v>52</v>
      </c>
      <c r="S77" s="371" t="s">
        <v>52</v>
      </c>
      <c r="T77" s="371" t="s">
        <v>52</v>
      </c>
      <c r="U77" s="371" t="s">
        <v>52</v>
      </c>
      <c r="V77" s="372" t="s">
        <v>52</v>
      </c>
      <c r="W77" s="390"/>
    </row>
    <row r="78" spans="1:23" ht="15" customHeight="1" x14ac:dyDescent="0.3">
      <c r="A78" s="56"/>
      <c r="B78" s="363" t="s">
        <v>160</v>
      </c>
      <c r="C78" s="84" t="s">
        <v>161</v>
      </c>
      <c r="D78" s="84" t="s">
        <v>77</v>
      </c>
      <c r="E78" s="84" t="s">
        <v>60</v>
      </c>
      <c r="F78" s="87">
        <v>10</v>
      </c>
      <c r="G78" s="810">
        <v>0.45</v>
      </c>
      <c r="H78" s="87">
        <v>3</v>
      </c>
      <c r="I78" s="79" t="s">
        <v>74</v>
      </c>
      <c r="J78" s="572" t="s">
        <v>52</v>
      </c>
      <c r="K78" s="370" t="s">
        <v>52</v>
      </c>
      <c r="L78" s="370" t="s">
        <v>52</v>
      </c>
      <c r="M78" s="371" t="s">
        <v>52</v>
      </c>
      <c r="N78" s="371" t="s">
        <v>52</v>
      </c>
      <c r="O78" s="371" t="s">
        <v>52</v>
      </c>
      <c r="P78" s="371" t="s">
        <v>52</v>
      </c>
      <c r="Q78" s="371" t="s">
        <v>52</v>
      </c>
      <c r="R78" s="371" t="s">
        <v>52</v>
      </c>
      <c r="S78" s="371" t="s">
        <v>52</v>
      </c>
      <c r="T78" s="371" t="s">
        <v>52</v>
      </c>
      <c r="U78" s="371" t="s">
        <v>52</v>
      </c>
      <c r="V78" s="372" t="s">
        <v>52</v>
      </c>
      <c r="W78" s="390"/>
    </row>
    <row r="79" spans="1:23" ht="15" customHeight="1" x14ac:dyDescent="0.3">
      <c r="A79" s="56"/>
      <c r="B79" s="363" t="s">
        <v>160</v>
      </c>
      <c r="C79" s="84" t="s">
        <v>162</v>
      </c>
      <c r="D79" s="84" t="s">
        <v>77</v>
      </c>
      <c r="E79" s="84" t="s">
        <v>60</v>
      </c>
      <c r="F79" s="87">
        <v>40</v>
      </c>
      <c r="G79" s="810">
        <v>0.45</v>
      </c>
      <c r="H79" s="87">
        <v>3</v>
      </c>
      <c r="I79" s="79" t="s">
        <v>74</v>
      </c>
      <c r="J79" s="572" t="s">
        <v>52</v>
      </c>
      <c r="K79" s="370" t="s">
        <v>52</v>
      </c>
      <c r="L79" s="370" t="s">
        <v>52</v>
      </c>
      <c r="M79" s="371" t="s">
        <v>52</v>
      </c>
      <c r="N79" s="371" t="s">
        <v>52</v>
      </c>
      <c r="O79" s="371" t="s">
        <v>52</v>
      </c>
      <c r="P79" s="371" t="s">
        <v>52</v>
      </c>
      <c r="Q79" s="371" t="s">
        <v>52</v>
      </c>
      <c r="R79" s="371" t="s">
        <v>52</v>
      </c>
      <c r="S79" s="371" t="s">
        <v>52</v>
      </c>
      <c r="T79" s="371" t="s">
        <v>52</v>
      </c>
      <c r="U79" s="371" t="s">
        <v>52</v>
      </c>
      <c r="V79" s="372" t="s">
        <v>52</v>
      </c>
      <c r="W79" s="390"/>
    </row>
    <row r="80" spans="1:23" ht="15" customHeight="1" x14ac:dyDescent="0.3">
      <c r="A80" s="56"/>
      <c r="B80" s="363" t="s">
        <v>47</v>
      </c>
      <c r="C80" s="84" t="s">
        <v>163</v>
      </c>
      <c r="D80" s="84" t="s">
        <v>77</v>
      </c>
      <c r="E80" s="84" t="s">
        <v>55</v>
      </c>
      <c r="F80" s="87">
        <v>43</v>
      </c>
      <c r="G80" s="810">
        <v>0.45</v>
      </c>
      <c r="H80" s="87">
        <v>3.3</v>
      </c>
      <c r="I80" s="79" t="s">
        <v>74</v>
      </c>
      <c r="J80" s="576" t="s">
        <v>52</v>
      </c>
      <c r="K80" s="371" t="s">
        <v>52</v>
      </c>
      <c r="L80" s="371" t="s">
        <v>52</v>
      </c>
      <c r="M80" s="371" t="s">
        <v>52</v>
      </c>
      <c r="N80" s="371" t="s">
        <v>52</v>
      </c>
      <c r="O80" s="371" t="s">
        <v>52</v>
      </c>
      <c r="P80" s="371" t="s">
        <v>52</v>
      </c>
      <c r="Q80" s="371" t="s">
        <v>52</v>
      </c>
      <c r="R80" s="371" t="s">
        <v>52</v>
      </c>
      <c r="S80" s="371" t="s">
        <v>52</v>
      </c>
      <c r="T80" s="371" t="s">
        <v>52</v>
      </c>
      <c r="U80" s="371" t="s">
        <v>52</v>
      </c>
      <c r="V80" s="372" t="s">
        <v>52</v>
      </c>
      <c r="W80" s="390"/>
    </row>
    <row r="81" spans="1:23" ht="15" customHeight="1" x14ac:dyDescent="0.3">
      <c r="A81" s="56"/>
      <c r="B81" s="363" t="s">
        <v>47</v>
      </c>
      <c r="C81" s="84" t="s">
        <v>164</v>
      </c>
      <c r="D81" s="84" t="s">
        <v>77</v>
      </c>
      <c r="E81" s="84" t="s">
        <v>55</v>
      </c>
      <c r="F81" s="87">
        <v>5</v>
      </c>
      <c r="G81" s="810">
        <v>0.45</v>
      </c>
      <c r="H81" s="87">
        <v>3.3</v>
      </c>
      <c r="I81" s="79" t="s">
        <v>74</v>
      </c>
      <c r="J81" s="576" t="s">
        <v>52</v>
      </c>
      <c r="K81" s="371" t="s">
        <v>52</v>
      </c>
      <c r="L81" s="371" t="s">
        <v>52</v>
      </c>
      <c r="M81" s="371" t="s">
        <v>52</v>
      </c>
      <c r="N81" s="371" t="s">
        <v>52</v>
      </c>
      <c r="O81" s="371" t="s">
        <v>52</v>
      </c>
      <c r="P81" s="371" t="s">
        <v>52</v>
      </c>
      <c r="Q81" s="371" t="s">
        <v>52</v>
      </c>
      <c r="R81" s="371" t="s">
        <v>52</v>
      </c>
      <c r="S81" s="371" t="s">
        <v>52</v>
      </c>
      <c r="T81" s="371" t="s">
        <v>52</v>
      </c>
      <c r="U81" s="371" t="s">
        <v>52</v>
      </c>
      <c r="V81" s="372" t="s">
        <v>52</v>
      </c>
      <c r="W81" s="390"/>
    </row>
    <row r="82" spans="1:23" ht="15" customHeight="1" x14ac:dyDescent="0.3">
      <c r="A82" s="56"/>
      <c r="B82" s="363" t="s">
        <v>165</v>
      </c>
      <c r="C82" s="84" t="s">
        <v>166</v>
      </c>
      <c r="D82" s="84" t="s">
        <v>77</v>
      </c>
      <c r="E82" s="84" t="s">
        <v>55</v>
      </c>
      <c r="F82" s="87">
        <v>6.3</v>
      </c>
      <c r="G82" s="810">
        <v>0.4</v>
      </c>
      <c r="H82" s="2">
        <v>15</v>
      </c>
      <c r="I82" s="79" t="s">
        <v>74</v>
      </c>
      <c r="J82" s="576" t="s">
        <v>52</v>
      </c>
      <c r="K82" s="371" t="s">
        <v>52</v>
      </c>
      <c r="L82" s="371" t="s">
        <v>52</v>
      </c>
      <c r="M82" s="371" t="s">
        <v>52</v>
      </c>
      <c r="N82" s="371" t="s">
        <v>52</v>
      </c>
      <c r="O82" s="371" t="s">
        <v>52</v>
      </c>
      <c r="P82" s="371" t="s">
        <v>52</v>
      </c>
      <c r="Q82" s="371" t="s">
        <v>52</v>
      </c>
      <c r="R82" s="371" t="s">
        <v>52</v>
      </c>
      <c r="S82" s="371" t="s">
        <v>52</v>
      </c>
      <c r="T82" s="371" t="s">
        <v>52</v>
      </c>
      <c r="U82" s="371" t="s">
        <v>52</v>
      </c>
      <c r="V82" s="372" t="s">
        <v>52</v>
      </c>
      <c r="W82" s="390"/>
    </row>
    <row r="83" spans="1:23" ht="15" customHeight="1" x14ac:dyDescent="0.3">
      <c r="A83" s="56"/>
      <c r="B83" s="363" t="s">
        <v>47</v>
      </c>
      <c r="C83" s="84" t="s">
        <v>167</v>
      </c>
      <c r="D83" s="84" t="s">
        <v>87</v>
      </c>
      <c r="E83" s="84" t="s">
        <v>88</v>
      </c>
      <c r="F83" s="87">
        <v>481</v>
      </c>
      <c r="G83" s="810">
        <v>0.33</v>
      </c>
      <c r="H83" s="87">
        <v>9</v>
      </c>
      <c r="I83" s="79" t="s">
        <v>89</v>
      </c>
      <c r="J83" s="577" t="s">
        <v>52</v>
      </c>
      <c r="K83" s="378" t="s">
        <v>52</v>
      </c>
      <c r="L83" s="378" t="s">
        <v>52</v>
      </c>
      <c r="M83" s="380" t="s">
        <v>62</v>
      </c>
      <c r="N83" s="380" t="s">
        <v>62</v>
      </c>
      <c r="O83" s="380" t="s">
        <v>62</v>
      </c>
      <c r="P83" s="380" t="s">
        <v>62</v>
      </c>
      <c r="Q83" s="380" t="s">
        <v>62</v>
      </c>
      <c r="R83" s="380" t="s">
        <v>62</v>
      </c>
      <c r="S83" s="380" t="s">
        <v>62</v>
      </c>
      <c r="T83" s="380" t="s">
        <v>62</v>
      </c>
      <c r="U83" s="380" t="s">
        <v>62</v>
      </c>
      <c r="V83" s="381" t="s">
        <v>62</v>
      </c>
      <c r="W83" s="391" t="s">
        <v>168</v>
      </c>
    </row>
    <row r="84" spans="1:23" ht="15" customHeight="1" x14ac:dyDescent="0.3">
      <c r="A84" s="56"/>
      <c r="B84" s="363" t="s">
        <v>47</v>
      </c>
      <c r="C84" s="84" t="s">
        <v>169</v>
      </c>
      <c r="D84" s="84" t="s">
        <v>87</v>
      </c>
      <c r="E84" s="84" t="s">
        <v>88</v>
      </c>
      <c r="F84" s="87">
        <v>481</v>
      </c>
      <c r="G84" s="810">
        <v>0.33</v>
      </c>
      <c r="H84" s="87">
        <v>9</v>
      </c>
      <c r="I84" s="79" t="s">
        <v>89</v>
      </c>
      <c r="J84" s="577" t="s">
        <v>52</v>
      </c>
      <c r="K84" s="378" t="s">
        <v>52</v>
      </c>
      <c r="L84" s="378" t="s">
        <v>52</v>
      </c>
      <c r="M84" s="380" t="s">
        <v>62</v>
      </c>
      <c r="N84" s="380" t="s">
        <v>62</v>
      </c>
      <c r="O84" s="380" t="s">
        <v>62</v>
      </c>
      <c r="P84" s="380" t="s">
        <v>62</v>
      </c>
      <c r="Q84" s="380" t="s">
        <v>62</v>
      </c>
      <c r="R84" s="380" t="s">
        <v>62</v>
      </c>
      <c r="S84" s="380" t="s">
        <v>62</v>
      </c>
      <c r="T84" s="380" t="s">
        <v>62</v>
      </c>
      <c r="U84" s="380" t="s">
        <v>62</v>
      </c>
      <c r="V84" s="381" t="s">
        <v>62</v>
      </c>
      <c r="W84" s="391" t="s">
        <v>168</v>
      </c>
    </row>
    <row r="85" spans="1:23" ht="15" customHeight="1" x14ac:dyDescent="0.3">
      <c r="A85" s="56"/>
      <c r="B85" s="363" t="s">
        <v>47</v>
      </c>
      <c r="C85" s="84" t="s">
        <v>170</v>
      </c>
      <c r="D85" s="84" t="s">
        <v>87</v>
      </c>
      <c r="E85" s="84" t="s">
        <v>88</v>
      </c>
      <c r="F85" s="87">
        <v>1008</v>
      </c>
      <c r="G85" s="810">
        <v>0.33</v>
      </c>
      <c r="H85" s="87">
        <v>9</v>
      </c>
      <c r="I85" s="79" t="s">
        <v>89</v>
      </c>
      <c r="J85" s="577" t="s">
        <v>52</v>
      </c>
      <c r="K85" s="380" t="s">
        <v>62</v>
      </c>
      <c r="L85" s="380" t="s">
        <v>62</v>
      </c>
      <c r="M85" s="380" t="s">
        <v>62</v>
      </c>
      <c r="N85" s="380" t="s">
        <v>62</v>
      </c>
      <c r="O85" s="380" t="s">
        <v>62</v>
      </c>
      <c r="P85" s="380" t="s">
        <v>62</v>
      </c>
      <c r="Q85" s="380" t="s">
        <v>62</v>
      </c>
      <c r="R85" s="380" t="s">
        <v>62</v>
      </c>
      <c r="S85" s="380" t="s">
        <v>62</v>
      </c>
      <c r="T85" s="380" t="s">
        <v>62</v>
      </c>
      <c r="U85" s="380" t="s">
        <v>62</v>
      </c>
      <c r="V85" s="381" t="s">
        <v>62</v>
      </c>
      <c r="W85" s="391" t="s">
        <v>171</v>
      </c>
    </row>
    <row r="86" spans="1:23" ht="15" customHeight="1" x14ac:dyDescent="0.3">
      <c r="A86" s="56"/>
      <c r="B86" s="363" t="s">
        <v>47</v>
      </c>
      <c r="C86" s="84" t="s">
        <v>172</v>
      </c>
      <c r="D86" s="84" t="s">
        <v>87</v>
      </c>
      <c r="E86" s="84" t="s">
        <v>88</v>
      </c>
      <c r="F86" s="87">
        <v>1038</v>
      </c>
      <c r="G86" s="810">
        <v>0.33</v>
      </c>
      <c r="H86" s="87">
        <v>9</v>
      </c>
      <c r="I86" s="79" t="s">
        <v>89</v>
      </c>
      <c r="J86" s="577" t="s">
        <v>52</v>
      </c>
      <c r="K86" s="378" t="s">
        <v>52</v>
      </c>
      <c r="L86" s="378" t="s">
        <v>52</v>
      </c>
      <c r="M86" s="380" t="s">
        <v>62</v>
      </c>
      <c r="N86" s="378" t="s">
        <v>52</v>
      </c>
      <c r="O86" s="378" t="s">
        <v>52</v>
      </c>
      <c r="P86" s="378" t="s">
        <v>52</v>
      </c>
      <c r="Q86" s="378" t="s">
        <v>52</v>
      </c>
      <c r="R86" s="378" t="s">
        <v>52</v>
      </c>
      <c r="S86" s="378" t="s">
        <v>52</v>
      </c>
      <c r="T86" s="378" t="s">
        <v>52</v>
      </c>
      <c r="U86" s="378" t="s">
        <v>52</v>
      </c>
      <c r="V86" s="379" t="s">
        <v>52</v>
      </c>
      <c r="W86" s="394" t="s">
        <v>96</v>
      </c>
    </row>
    <row r="87" spans="1:23" ht="15" customHeight="1" x14ac:dyDescent="0.3">
      <c r="A87" s="56"/>
      <c r="B87" s="363" t="s">
        <v>173</v>
      </c>
      <c r="C87" s="84" t="s">
        <v>173</v>
      </c>
      <c r="D87" s="84" t="s">
        <v>66</v>
      </c>
      <c r="E87" s="84" t="s">
        <v>55</v>
      </c>
      <c r="F87" s="87">
        <v>425</v>
      </c>
      <c r="G87" s="810">
        <v>0.57999999999999996</v>
      </c>
      <c r="H87" s="87">
        <v>2</v>
      </c>
      <c r="I87" s="79" t="s">
        <v>51</v>
      </c>
      <c r="J87" s="575" t="s">
        <v>52</v>
      </c>
      <c r="K87" s="364" t="s">
        <v>52</v>
      </c>
      <c r="L87" s="364" t="s">
        <v>52</v>
      </c>
      <c r="M87" s="364" t="s">
        <v>52</v>
      </c>
      <c r="N87" s="364" t="s">
        <v>52</v>
      </c>
      <c r="O87" s="364" t="s">
        <v>52</v>
      </c>
      <c r="P87" s="364" t="s">
        <v>52</v>
      </c>
      <c r="Q87" s="364" t="s">
        <v>52</v>
      </c>
      <c r="R87" s="364" t="s">
        <v>52</v>
      </c>
      <c r="S87" s="364" t="s">
        <v>52</v>
      </c>
      <c r="T87" s="364" t="s">
        <v>52</v>
      </c>
      <c r="U87" s="364" t="s">
        <v>52</v>
      </c>
      <c r="V87" s="365" t="s">
        <v>52</v>
      </c>
      <c r="W87" s="390"/>
    </row>
    <row r="88" spans="1:23" ht="15" customHeight="1" x14ac:dyDescent="0.3">
      <c r="A88" s="53"/>
      <c r="B88" s="363" t="s">
        <v>47</v>
      </c>
      <c r="C88" s="84" t="s">
        <v>174</v>
      </c>
      <c r="D88" s="84" t="s">
        <v>49</v>
      </c>
      <c r="E88" s="84" t="s">
        <v>50</v>
      </c>
      <c r="F88" s="87">
        <v>18</v>
      </c>
      <c r="G88" s="810">
        <v>0.26</v>
      </c>
      <c r="H88" s="87">
        <v>3.3</v>
      </c>
      <c r="I88" s="79" t="s">
        <v>51</v>
      </c>
      <c r="J88" s="570" t="s">
        <v>52</v>
      </c>
      <c r="K88" s="366" t="s">
        <v>62</v>
      </c>
      <c r="L88" s="366" t="s">
        <v>62</v>
      </c>
      <c r="M88" s="366" t="s">
        <v>62</v>
      </c>
      <c r="N88" s="366" t="s">
        <v>62</v>
      </c>
      <c r="O88" s="366" t="s">
        <v>62</v>
      </c>
      <c r="P88" s="366" t="s">
        <v>62</v>
      </c>
      <c r="Q88" s="366" t="s">
        <v>62</v>
      </c>
      <c r="R88" s="366" t="s">
        <v>62</v>
      </c>
      <c r="S88" s="366" t="s">
        <v>62</v>
      </c>
      <c r="T88" s="366" t="s">
        <v>62</v>
      </c>
      <c r="U88" s="366" t="s">
        <v>62</v>
      </c>
      <c r="V88" s="381" t="s">
        <v>62</v>
      </c>
      <c r="W88" s="391" t="s">
        <v>175</v>
      </c>
    </row>
    <row r="89" spans="1:23" ht="15" customHeight="1" x14ac:dyDescent="0.3">
      <c r="A89" s="53"/>
      <c r="B89" s="363" t="s">
        <v>47</v>
      </c>
      <c r="C89" s="84" t="s">
        <v>176</v>
      </c>
      <c r="D89" s="84" t="s">
        <v>54</v>
      </c>
      <c r="E89" s="84" t="s">
        <v>55</v>
      </c>
      <c r="F89" s="87">
        <v>360</v>
      </c>
      <c r="G89" s="810">
        <v>0.52</v>
      </c>
      <c r="H89" s="87">
        <v>2</v>
      </c>
      <c r="I89" s="79" t="s">
        <v>61</v>
      </c>
      <c r="J89" s="575" t="s">
        <v>52</v>
      </c>
      <c r="K89" s="364" t="s">
        <v>52</v>
      </c>
      <c r="L89" s="364" t="s">
        <v>52</v>
      </c>
      <c r="M89" s="366" t="s">
        <v>62</v>
      </c>
      <c r="N89" s="366" t="s">
        <v>62</v>
      </c>
      <c r="O89" s="366" t="s">
        <v>62</v>
      </c>
      <c r="P89" s="366" t="s">
        <v>62</v>
      </c>
      <c r="Q89" s="366" t="s">
        <v>62</v>
      </c>
      <c r="R89" s="366" t="s">
        <v>62</v>
      </c>
      <c r="S89" s="366" t="s">
        <v>62</v>
      </c>
      <c r="T89" s="366" t="s">
        <v>62</v>
      </c>
      <c r="U89" s="366" t="s">
        <v>62</v>
      </c>
      <c r="V89" s="381" t="s">
        <v>62</v>
      </c>
      <c r="W89" s="391" t="s">
        <v>177</v>
      </c>
    </row>
    <row r="90" spans="1:23" ht="15" customHeight="1" x14ac:dyDescent="0.3">
      <c r="A90" s="53"/>
      <c r="B90" s="363" t="s">
        <v>47</v>
      </c>
      <c r="C90" s="84" t="s">
        <v>178</v>
      </c>
      <c r="D90" s="84" t="s">
        <v>57</v>
      </c>
      <c r="E90" s="84" t="s">
        <v>55</v>
      </c>
      <c r="F90" s="87">
        <v>121</v>
      </c>
      <c r="G90" s="810">
        <v>0.52</v>
      </c>
      <c r="H90" s="87">
        <v>2</v>
      </c>
      <c r="I90" s="79" t="s">
        <v>61</v>
      </c>
      <c r="J90" s="575" t="s">
        <v>52</v>
      </c>
      <c r="K90" s="380" t="s">
        <v>62</v>
      </c>
      <c r="L90" s="380" t="s">
        <v>62</v>
      </c>
      <c r="M90" s="380" t="s">
        <v>62</v>
      </c>
      <c r="N90" s="380" t="s">
        <v>62</v>
      </c>
      <c r="O90" s="380" t="s">
        <v>62</v>
      </c>
      <c r="P90" s="380" t="s">
        <v>62</v>
      </c>
      <c r="Q90" s="380" t="s">
        <v>62</v>
      </c>
      <c r="R90" s="380" t="s">
        <v>62</v>
      </c>
      <c r="S90" s="380" t="s">
        <v>62</v>
      </c>
      <c r="T90" s="380" t="s">
        <v>62</v>
      </c>
      <c r="U90" s="380" t="s">
        <v>62</v>
      </c>
      <c r="V90" s="381" t="s">
        <v>62</v>
      </c>
      <c r="W90" s="394" t="s">
        <v>179</v>
      </c>
    </row>
    <row r="91" spans="1:23" ht="15" customHeight="1" x14ac:dyDescent="0.3">
      <c r="A91" s="53"/>
      <c r="B91" s="363" t="s">
        <v>180</v>
      </c>
      <c r="C91" s="84" t="s">
        <v>181</v>
      </c>
      <c r="D91" s="84" t="s">
        <v>77</v>
      </c>
      <c r="E91" s="84" t="s">
        <v>55</v>
      </c>
      <c r="F91" s="87">
        <v>43</v>
      </c>
      <c r="G91" s="810">
        <v>0.45</v>
      </c>
      <c r="H91" s="2">
        <v>15</v>
      </c>
      <c r="I91" s="79" t="s">
        <v>74</v>
      </c>
      <c r="J91" s="576" t="s">
        <v>52</v>
      </c>
      <c r="K91" s="371" t="s">
        <v>52</v>
      </c>
      <c r="L91" s="371" t="s">
        <v>52</v>
      </c>
      <c r="M91" s="371" t="s">
        <v>52</v>
      </c>
      <c r="N91" s="371" t="s">
        <v>52</v>
      </c>
      <c r="O91" s="371" t="s">
        <v>52</v>
      </c>
      <c r="P91" s="371" t="s">
        <v>52</v>
      </c>
      <c r="Q91" s="371" t="s">
        <v>52</v>
      </c>
      <c r="R91" s="371" t="s">
        <v>52</v>
      </c>
      <c r="S91" s="371" t="s">
        <v>52</v>
      </c>
      <c r="T91" s="371" t="s">
        <v>52</v>
      </c>
      <c r="U91" s="371" t="s">
        <v>52</v>
      </c>
      <c r="V91" s="372" t="s">
        <v>52</v>
      </c>
      <c r="W91" s="390"/>
    </row>
    <row r="92" spans="1:23" ht="15" customHeight="1" x14ac:dyDescent="0.3">
      <c r="A92" s="53"/>
      <c r="B92" s="363" t="s">
        <v>180</v>
      </c>
      <c r="C92" s="84" t="s">
        <v>182</v>
      </c>
      <c r="D92" s="84" t="s">
        <v>77</v>
      </c>
      <c r="E92" s="84" t="s">
        <v>55</v>
      </c>
      <c r="F92" s="87">
        <v>43</v>
      </c>
      <c r="G92" s="810">
        <v>0.45</v>
      </c>
      <c r="H92" s="2">
        <v>15</v>
      </c>
      <c r="I92" s="79" t="s">
        <v>74</v>
      </c>
      <c r="J92" s="576" t="s">
        <v>52</v>
      </c>
      <c r="K92" s="371" t="s">
        <v>52</v>
      </c>
      <c r="L92" s="371" t="s">
        <v>52</v>
      </c>
      <c r="M92" s="371" t="s">
        <v>52</v>
      </c>
      <c r="N92" s="371" t="s">
        <v>52</v>
      </c>
      <c r="O92" s="371" t="s">
        <v>52</v>
      </c>
      <c r="P92" s="371" t="s">
        <v>52</v>
      </c>
      <c r="Q92" s="371" t="s">
        <v>52</v>
      </c>
      <c r="R92" s="371" t="s">
        <v>52</v>
      </c>
      <c r="S92" s="371" t="s">
        <v>52</v>
      </c>
      <c r="T92" s="371" t="s">
        <v>52</v>
      </c>
      <c r="U92" s="371" t="s">
        <v>52</v>
      </c>
      <c r="V92" s="372" t="s">
        <v>52</v>
      </c>
      <c r="W92" s="390"/>
    </row>
    <row r="93" spans="1:23" ht="15" customHeight="1" x14ac:dyDescent="0.3">
      <c r="A93" s="53"/>
      <c r="B93" s="363" t="s">
        <v>180</v>
      </c>
      <c r="C93" s="84" t="s">
        <v>183</v>
      </c>
      <c r="D93" s="84" t="s">
        <v>77</v>
      </c>
      <c r="E93" s="84" t="s">
        <v>55</v>
      </c>
      <c r="F93" s="87">
        <v>43</v>
      </c>
      <c r="G93" s="810">
        <v>0.45</v>
      </c>
      <c r="H93" s="2">
        <v>15</v>
      </c>
      <c r="I93" s="79" t="s">
        <v>74</v>
      </c>
      <c r="J93" s="576" t="s">
        <v>52</v>
      </c>
      <c r="K93" s="371" t="s">
        <v>52</v>
      </c>
      <c r="L93" s="371" t="s">
        <v>52</v>
      </c>
      <c r="M93" s="371" t="s">
        <v>52</v>
      </c>
      <c r="N93" s="371" t="s">
        <v>52</v>
      </c>
      <c r="O93" s="371" t="s">
        <v>52</v>
      </c>
      <c r="P93" s="371" t="s">
        <v>52</v>
      </c>
      <c r="Q93" s="371" t="s">
        <v>52</v>
      </c>
      <c r="R93" s="371" t="s">
        <v>52</v>
      </c>
      <c r="S93" s="371" t="s">
        <v>52</v>
      </c>
      <c r="T93" s="371" t="s">
        <v>52</v>
      </c>
      <c r="U93" s="371" t="s">
        <v>52</v>
      </c>
      <c r="V93" s="372" t="s">
        <v>52</v>
      </c>
      <c r="W93" s="390"/>
    </row>
    <row r="94" spans="1:23" ht="15" customHeight="1" x14ac:dyDescent="0.3">
      <c r="A94" s="53"/>
      <c r="B94" s="363" t="s">
        <v>184</v>
      </c>
      <c r="C94" s="84" t="s">
        <v>185</v>
      </c>
      <c r="D94" s="84" t="s">
        <v>127</v>
      </c>
      <c r="E94" s="84" t="s">
        <v>55</v>
      </c>
      <c r="F94" s="87">
        <v>386.2</v>
      </c>
      <c r="G94" s="810">
        <v>0.56999999999999995</v>
      </c>
      <c r="H94" s="87">
        <v>2</v>
      </c>
      <c r="I94" s="79" t="s">
        <v>51</v>
      </c>
      <c r="J94" s="575" t="s">
        <v>52</v>
      </c>
      <c r="K94" s="364" t="s">
        <v>52</v>
      </c>
      <c r="L94" s="364" t="s">
        <v>52</v>
      </c>
      <c r="M94" s="364" t="s">
        <v>52</v>
      </c>
      <c r="N94" s="364" t="s">
        <v>52</v>
      </c>
      <c r="O94" s="364" t="s">
        <v>52</v>
      </c>
      <c r="P94" s="364" t="s">
        <v>52</v>
      </c>
      <c r="Q94" s="364" t="s">
        <v>52</v>
      </c>
      <c r="R94" s="364" t="s">
        <v>52</v>
      </c>
      <c r="S94" s="364" t="s">
        <v>52</v>
      </c>
      <c r="T94" s="364" t="s">
        <v>52</v>
      </c>
      <c r="U94" s="364" t="s">
        <v>52</v>
      </c>
      <c r="V94" s="365" t="s">
        <v>52</v>
      </c>
      <c r="W94" s="390"/>
    </row>
    <row r="95" spans="1:23" ht="15" customHeight="1" x14ac:dyDescent="0.3">
      <c r="A95" s="53"/>
      <c r="B95" s="363" t="s">
        <v>47</v>
      </c>
      <c r="C95" s="84" t="s">
        <v>186</v>
      </c>
      <c r="D95" s="84" t="s">
        <v>49</v>
      </c>
      <c r="E95" s="84" t="s">
        <v>50</v>
      </c>
      <c r="F95" s="87">
        <v>18</v>
      </c>
      <c r="G95" s="810">
        <v>0.26</v>
      </c>
      <c r="H95" s="87">
        <v>3.3</v>
      </c>
      <c r="I95" s="79" t="s">
        <v>51</v>
      </c>
      <c r="J95" s="575" t="s">
        <v>52</v>
      </c>
      <c r="K95" s="364" t="s">
        <v>52</v>
      </c>
      <c r="L95" s="364" t="s">
        <v>52</v>
      </c>
      <c r="M95" s="364" t="s">
        <v>52</v>
      </c>
      <c r="N95" s="364" t="s">
        <v>52</v>
      </c>
      <c r="O95" s="364" t="s">
        <v>52</v>
      </c>
      <c r="P95" s="364" t="s">
        <v>52</v>
      </c>
      <c r="Q95" s="364" t="s">
        <v>52</v>
      </c>
      <c r="R95" s="364" t="s">
        <v>52</v>
      </c>
      <c r="S95" s="364" t="s">
        <v>52</v>
      </c>
      <c r="T95" s="364" t="s">
        <v>52</v>
      </c>
      <c r="U95" s="364" t="s">
        <v>52</v>
      </c>
      <c r="V95" s="365" t="s">
        <v>52</v>
      </c>
      <c r="W95" s="390"/>
    </row>
    <row r="96" spans="1:23" ht="15" customHeight="1" x14ac:dyDescent="0.3">
      <c r="A96" s="53"/>
      <c r="B96" s="363" t="s">
        <v>47</v>
      </c>
      <c r="C96" s="84" t="s">
        <v>187</v>
      </c>
      <c r="D96" s="84" t="s">
        <v>49</v>
      </c>
      <c r="E96" s="84" t="s">
        <v>50</v>
      </c>
      <c r="F96" s="87">
        <v>18</v>
      </c>
      <c r="G96" s="810">
        <v>0.26</v>
      </c>
      <c r="H96" s="87">
        <v>3.3</v>
      </c>
      <c r="I96" s="79" t="s">
        <v>51</v>
      </c>
      <c r="J96" s="570" t="s">
        <v>52</v>
      </c>
      <c r="K96" s="316" t="s">
        <v>52</v>
      </c>
      <c r="L96" s="316" t="s">
        <v>52</v>
      </c>
      <c r="M96" s="364" t="s">
        <v>52</v>
      </c>
      <c r="N96" s="364" t="s">
        <v>52</v>
      </c>
      <c r="O96" s="364" t="s">
        <v>52</v>
      </c>
      <c r="P96" s="364" t="s">
        <v>52</v>
      </c>
      <c r="Q96" s="364" t="s">
        <v>52</v>
      </c>
      <c r="R96" s="364" t="s">
        <v>52</v>
      </c>
      <c r="S96" s="364" t="s">
        <v>52</v>
      </c>
      <c r="T96" s="364" t="s">
        <v>52</v>
      </c>
      <c r="U96" s="364" t="s">
        <v>52</v>
      </c>
      <c r="V96" s="365" t="s">
        <v>52</v>
      </c>
      <c r="W96" s="390"/>
    </row>
    <row r="97" spans="1:23" ht="15" customHeight="1" x14ac:dyDescent="0.3">
      <c r="A97" s="53"/>
      <c r="B97" s="363" t="s">
        <v>47</v>
      </c>
      <c r="C97" s="84" t="s">
        <v>188</v>
      </c>
      <c r="D97" s="84" t="s">
        <v>102</v>
      </c>
      <c r="E97" s="84" t="s">
        <v>55</v>
      </c>
      <c r="F97" s="87">
        <v>305</v>
      </c>
      <c r="G97" s="810">
        <v>0.42</v>
      </c>
      <c r="H97" s="87">
        <v>2</v>
      </c>
      <c r="I97" s="79" t="s">
        <v>51</v>
      </c>
      <c r="J97" s="570" t="s">
        <v>52</v>
      </c>
      <c r="K97" s="316" t="s">
        <v>52</v>
      </c>
      <c r="L97" s="316" t="s">
        <v>52</v>
      </c>
      <c r="M97" s="364" t="s">
        <v>52</v>
      </c>
      <c r="N97" s="364" t="s">
        <v>52</v>
      </c>
      <c r="O97" s="364" t="s">
        <v>52</v>
      </c>
      <c r="P97" s="364" t="s">
        <v>52</v>
      </c>
      <c r="Q97" s="364" t="s">
        <v>52</v>
      </c>
      <c r="R97" s="364" t="s">
        <v>52</v>
      </c>
      <c r="S97" s="364" t="s">
        <v>52</v>
      </c>
      <c r="T97" s="364" t="s">
        <v>52</v>
      </c>
      <c r="U97" s="364" t="s">
        <v>52</v>
      </c>
      <c r="V97" s="365" t="s">
        <v>52</v>
      </c>
      <c r="W97" s="390"/>
    </row>
    <row r="98" spans="1:23" ht="15" customHeight="1" x14ac:dyDescent="0.3">
      <c r="A98" s="53"/>
      <c r="B98" s="363" t="s">
        <v>47</v>
      </c>
      <c r="C98" s="84" t="s">
        <v>189</v>
      </c>
      <c r="D98" s="84" t="s">
        <v>49</v>
      </c>
      <c r="E98" s="84" t="s">
        <v>50</v>
      </c>
      <c r="F98" s="87">
        <v>18</v>
      </c>
      <c r="G98" s="810">
        <v>0.26</v>
      </c>
      <c r="H98" s="87">
        <v>3.3</v>
      </c>
      <c r="I98" s="79" t="s">
        <v>51</v>
      </c>
      <c r="J98" s="575" t="s">
        <v>52</v>
      </c>
      <c r="K98" s="316" t="s">
        <v>52</v>
      </c>
      <c r="L98" s="316" t="s">
        <v>52</v>
      </c>
      <c r="M98" s="364" t="s">
        <v>52</v>
      </c>
      <c r="N98" s="364" t="s">
        <v>52</v>
      </c>
      <c r="O98" s="364" t="s">
        <v>52</v>
      </c>
      <c r="P98" s="364" t="s">
        <v>52</v>
      </c>
      <c r="Q98" s="364" t="s">
        <v>52</v>
      </c>
      <c r="R98" s="364" t="s">
        <v>52</v>
      </c>
      <c r="S98" s="364" t="s">
        <v>52</v>
      </c>
      <c r="T98" s="364" t="s">
        <v>52</v>
      </c>
      <c r="U98" s="364" t="s">
        <v>52</v>
      </c>
      <c r="V98" s="365" t="s">
        <v>52</v>
      </c>
      <c r="W98" s="390"/>
    </row>
    <row r="99" spans="1:23" ht="15" customHeight="1" x14ac:dyDescent="0.3">
      <c r="A99" s="53"/>
      <c r="B99" s="363" t="s">
        <v>47</v>
      </c>
      <c r="C99" s="84" t="s">
        <v>190</v>
      </c>
      <c r="D99" s="84" t="s">
        <v>77</v>
      </c>
      <c r="E99" s="84" t="s">
        <v>55</v>
      </c>
      <c r="F99" s="87">
        <v>43</v>
      </c>
      <c r="G99" s="810">
        <v>0.45</v>
      </c>
      <c r="H99" s="87">
        <v>3.3</v>
      </c>
      <c r="I99" s="79" t="s">
        <v>74</v>
      </c>
      <c r="J99" s="576" t="s">
        <v>52</v>
      </c>
      <c r="K99" s="370" t="s">
        <v>52</v>
      </c>
      <c r="L99" s="374" t="s">
        <v>52</v>
      </c>
      <c r="M99" s="371" t="s">
        <v>52</v>
      </c>
      <c r="N99" s="371" t="s">
        <v>52</v>
      </c>
      <c r="O99" s="371" t="s">
        <v>52</v>
      </c>
      <c r="P99" s="371" t="s">
        <v>52</v>
      </c>
      <c r="Q99" s="371" t="s">
        <v>52</v>
      </c>
      <c r="R99" s="371" t="s">
        <v>52</v>
      </c>
      <c r="S99" s="371" t="s">
        <v>52</v>
      </c>
      <c r="T99" s="371" t="s">
        <v>52</v>
      </c>
      <c r="U99" s="371" t="s">
        <v>52</v>
      </c>
      <c r="V99" s="372" t="s">
        <v>52</v>
      </c>
      <c r="W99" s="390"/>
    </row>
    <row r="100" spans="1:23" ht="15" customHeight="1" thickBot="1" x14ac:dyDescent="0.35">
      <c r="A100" s="53"/>
      <c r="B100" s="382" t="s">
        <v>47</v>
      </c>
      <c r="C100" s="383" t="s">
        <v>191</v>
      </c>
      <c r="D100" s="383" t="s">
        <v>77</v>
      </c>
      <c r="E100" s="383" t="s">
        <v>55</v>
      </c>
      <c r="F100" s="384">
        <v>15</v>
      </c>
      <c r="G100" s="812">
        <v>0.45</v>
      </c>
      <c r="H100" s="384">
        <v>3.3</v>
      </c>
      <c r="I100" s="83" t="s">
        <v>74</v>
      </c>
      <c r="J100" s="578" t="s">
        <v>52</v>
      </c>
      <c r="K100" s="386" t="s">
        <v>52</v>
      </c>
      <c r="L100" s="385" t="s">
        <v>52</v>
      </c>
      <c r="M100" s="386" t="s">
        <v>52</v>
      </c>
      <c r="N100" s="386" t="s">
        <v>52</v>
      </c>
      <c r="O100" s="386" t="s">
        <v>52</v>
      </c>
      <c r="P100" s="386" t="s">
        <v>52</v>
      </c>
      <c r="Q100" s="386" t="s">
        <v>52</v>
      </c>
      <c r="R100" s="386" t="s">
        <v>52</v>
      </c>
      <c r="S100" s="386" t="s">
        <v>52</v>
      </c>
      <c r="T100" s="386" t="s">
        <v>52</v>
      </c>
      <c r="U100" s="386" t="s">
        <v>52</v>
      </c>
      <c r="V100" s="387" t="s">
        <v>52</v>
      </c>
      <c r="W100" s="396"/>
    </row>
    <row r="101" spans="1:23" x14ac:dyDescent="0.3">
      <c r="W101" s="13"/>
    </row>
    <row r="102" spans="1:23" x14ac:dyDescent="0.3">
      <c r="W102" s="13"/>
    </row>
    <row r="103" spans="1:23" x14ac:dyDescent="0.3">
      <c r="B103" s="57" t="s">
        <v>192</v>
      </c>
      <c r="W103" s="13"/>
    </row>
    <row r="104" spans="1:23" x14ac:dyDescent="0.3">
      <c r="B104" s="58" t="s">
        <v>66</v>
      </c>
      <c r="C104" t="s">
        <v>193</v>
      </c>
    </row>
    <row r="105" spans="1:23" x14ac:dyDescent="0.3">
      <c r="B105" s="58" t="s">
        <v>54</v>
      </c>
      <c r="C105" t="s">
        <v>194</v>
      </c>
    </row>
    <row r="106" spans="1:23" x14ac:dyDescent="0.3">
      <c r="B106" s="58" t="s">
        <v>57</v>
      </c>
      <c r="C106" t="s">
        <v>195</v>
      </c>
    </row>
    <row r="107" spans="1:23" ht="15.75" customHeight="1" x14ac:dyDescent="0.3">
      <c r="B107" s="58" t="s">
        <v>59</v>
      </c>
      <c r="C107" t="s">
        <v>196</v>
      </c>
    </row>
    <row r="108" spans="1:23" x14ac:dyDescent="0.3">
      <c r="B108" s="58" t="s">
        <v>102</v>
      </c>
      <c r="C108" t="s">
        <v>197</v>
      </c>
    </row>
    <row r="109" spans="1:23" x14ac:dyDescent="0.3">
      <c r="B109" s="58" t="s">
        <v>198</v>
      </c>
      <c r="C109" t="s">
        <v>199</v>
      </c>
    </row>
    <row r="110" spans="1:23" x14ac:dyDescent="0.3">
      <c r="B110" s="58" t="s">
        <v>72</v>
      </c>
      <c r="C110" t="s">
        <v>200</v>
      </c>
    </row>
    <row r="111" spans="1:23" x14ac:dyDescent="0.3">
      <c r="B111" s="58" t="s">
        <v>87</v>
      </c>
      <c r="C111" t="s">
        <v>88</v>
      </c>
    </row>
    <row r="112" spans="1:23" x14ac:dyDescent="0.3">
      <c r="B112" s="58" t="s">
        <v>49</v>
      </c>
      <c r="C112" t="s">
        <v>201</v>
      </c>
    </row>
    <row r="113" spans="2:3" x14ac:dyDescent="0.3">
      <c r="B113" s="58" t="s">
        <v>77</v>
      </c>
      <c r="C113" t="s">
        <v>202</v>
      </c>
    </row>
    <row r="114" spans="2:3" x14ac:dyDescent="0.3">
      <c r="B114" s="58"/>
    </row>
  </sheetData>
  <mergeCells count="7">
    <mergeCell ref="J11:V11"/>
    <mergeCell ref="I5:N5"/>
    <mergeCell ref="B6:E7"/>
    <mergeCell ref="I6:N6"/>
    <mergeCell ref="I7:N7"/>
    <mergeCell ref="I8:N8"/>
    <mergeCell ref="I9:N9"/>
  </mergeCells>
  <conditionalFormatting sqref="H48">
    <cfRule type="expression" dxfId="12" priority="13">
      <formula>COUNTIF(#REF!,#REF!)&gt;0</formula>
    </cfRule>
  </conditionalFormatting>
  <conditionalFormatting sqref="H49">
    <cfRule type="expression" dxfId="11" priority="12">
      <formula>COUNTIF(#REF!,#REF!)&gt;0</formula>
    </cfRule>
  </conditionalFormatting>
  <conditionalFormatting sqref="H19">
    <cfRule type="expression" dxfId="10" priority="11">
      <formula>COUNTIF(#REF!,#REF!)&gt;0</formula>
    </cfRule>
  </conditionalFormatting>
  <conditionalFormatting sqref="H20">
    <cfRule type="expression" dxfId="9" priority="10">
      <formula>COUNTIF(#REF!,#REF!)&gt;0</formula>
    </cfRule>
  </conditionalFormatting>
  <conditionalFormatting sqref="H22">
    <cfRule type="expression" dxfId="8" priority="9">
      <formula>COUNTIF(#REF!,#REF!)&gt;0</formula>
    </cfRule>
  </conditionalFormatting>
  <conditionalFormatting sqref="H56">
    <cfRule type="expression" dxfId="7" priority="8">
      <formula>COUNTIF(#REF!,#REF!)&gt;0</formula>
    </cfRule>
  </conditionalFormatting>
  <conditionalFormatting sqref="H57">
    <cfRule type="expression" dxfId="6" priority="7">
      <formula>COUNTIF(#REF!,#REF!)&gt;0</formula>
    </cfRule>
  </conditionalFormatting>
  <conditionalFormatting sqref="H58">
    <cfRule type="expression" dxfId="5" priority="6">
      <formula>COUNTIF(#REF!,#REF!)&gt;0</formula>
    </cfRule>
  </conditionalFormatting>
  <conditionalFormatting sqref="H59">
    <cfRule type="expression" dxfId="4" priority="5">
      <formula>COUNTIF(#REF!,#REF!)&gt;0</formula>
    </cfRule>
  </conditionalFormatting>
  <conditionalFormatting sqref="H60">
    <cfRule type="expression" dxfId="3" priority="4">
      <formula>COUNTIF(#REF!,#REF!)&gt;0</formula>
    </cfRule>
  </conditionalFormatting>
  <conditionalFormatting sqref="H74:H76">
    <cfRule type="expression" dxfId="2" priority="3">
      <formula>COUNTIF(#REF!,#REF!)&gt;0</formula>
    </cfRule>
  </conditionalFormatting>
  <conditionalFormatting sqref="H82">
    <cfRule type="expression" dxfId="1" priority="2">
      <formula>COUNTIF(#REF!,#REF!)&gt;0</formula>
    </cfRule>
  </conditionalFormatting>
  <conditionalFormatting sqref="H91:H93">
    <cfRule type="expression" dxfId="0" priority="1">
      <formula>COUNTIF(#REF!,#REF!)&gt;0</formula>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AS177"/>
  <sheetViews>
    <sheetView showGridLines="0" view="pageBreakPreview" zoomScale="60" zoomScaleNormal="50" workbookViewId="0">
      <selection activeCell="DW29" sqref="DW29"/>
    </sheetView>
  </sheetViews>
  <sheetFormatPr defaultColWidth="9.109375" defaultRowHeight="14.4" x14ac:dyDescent="0.3"/>
  <cols>
    <col min="1" max="1" width="2.88671875" customWidth="1"/>
    <col min="2" max="2" width="15" customWidth="1"/>
    <col min="3" max="3" width="51.109375" customWidth="1"/>
    <col min="4" max="4" width="15.109375" customWidth="1"/>
    <col min="5" max="5" width="18.109375" style="2" customWidth="1"/>
    <col min="6" max="16" width="15.109375" style="2" customWidth="1"/>
    <col min="17" max="17" width="15.109375" customWidth="1"/>
    <col min="18" max="18" width="38" customWidth="1"/>
  </cols>
  <sheetData>
    <row r="2" spans="2:40" ht="24" thickBot="1" x14ac:dyDescent="0.5">
      <c r="B2" s="3" t="s">
        <v>203</v>
      </c>
      <c r="C2" s="3"/>
      <c r="D2" s="3"/>
      <c r="E2" s="3"/>
      <c r="F2" s="3"/>
    </row>
    <row r="3" spans="2:40" ht="23.4" x14ac:dyDescent="0.45">
      <c r="B3" s="4"/>
      <c r="D3" s="4"/>
      <c r="E3" s="4"/>
      <c r="F3" s="4"/>
    </row>
    <row r="4" spans="2:40" ht="24" thickBot="1" x14ac:dyDescent="0.5">
      <c r="B4" s="4"/>
      <c r="C4" s="4"/>
      <c r="E4" s="10"/>
    </row>
    <row r="5" spans="2:40" ht="15" thickBot="1" x14ac:dyDescent="0.35">
      <c r="B5" s="20"/>
      <c r="C5" s="5"/>
      <c r="D5" s="1012" t="s">
        <v>204</v>
      </c>
      <c r="E5" s="1013"/>
      <c r="F5" s="1013"/>
      <c r="G5" s="1013"/>
      <c r="H5" s="1013"/>
      <c r="I5" s="1013"/>
      <c r="J5" s="1013"/>
      <c r="K5" s="1013"/>
      <c r="L5" s="1013"/>
      <c r="M5" s="1013"/>
      <c r="N5" s="1013"/>
      <c r="O5" s="1013"/>
      <c r="P5" s="1013"/>
      <c r="Q5" s="1014"/>
      <c r="AB5" s="172"/>
      <c r="AC5" s="172"/>
      <c r="AD5" s="172"/>
      <c r="AE5" s="172"/>
      <c r="AF5" s="172"/>
      <c r="AG5" s="172"/>
      <c r="AH5" s="172"/>
      <c r="AI5" s="172"/>
      <c r="AJ5" s="172"/>
      <c r="AK5" s="172"/>
      <c r="AL5" s="172"/>
      <c r="AM5" s="172"/>
      <c r="AN5" s="256"/>
    </row>
    <row r="6" spans="2:40" ht="15" thickBot="1" x14ac:dyDescent="0.35">
      <c r="B6" s="31" t="s">
        <v>205</v>
      </c>
      <c r="C6" s="32"/>
      <c r="D6" s="257">
        <v>2021</v>
      </c>
      <c r="E6" s="258">
        <v>2022</v>
      </c>
      <c r="F6" s="258">
        <v>2023</v>
      </c>
      <c r="G6" s="258">
        <v>2024</v>
      </c>
      <c r="H6" s="258">
        <v>2025</v>
      </c>
      <c r="I6" s="258">
        <v>2026</v>
      </c>
      <c r="J6" s="258">
        <v>2027</v>
      </c>
      <c r="K6" s="258">
        <v>2028</v>
      </c>
      <c r="L6" s="258">
        <v>2029</v>
      </c>
      <c r="M6" s="258">
        <v>2030</v>
      </c>
      <c r="N6" s="258">
        <v>2031</v>
      </c>
      <c r="O6" s="258">
        <v>2032</v>
      </c>
      <c r="P6" s="258">
        <v>2033</v>
      </c>
      <c r="Q6" s="259">
        <v>2034</v>
      </c>
      <c r="AC6" s="2"/>
      <c r="AD6" s="2"/>
      <c r="AE6" s="2"/>
      <c r="AF6" s="2"/>
      <c r="AG6" s="2"/>
      <c r="AH6" s="2"/>
      <c r="AI6" s="2"/>
      <c r="AJ6" s="2"/>
      <c r="AK6" s="2"/>
      <c r="AL6" s="2"/>
      <c r="AM6" s="2"/>
      <c r="AN6" s="2"/>
    </row>
    <row r="7" spans="2:40" ht="15" customHeight="1" x14ac:dyDescent="0.3">
      <c r="B7" s="14"/>
      <c r="C7" s="26"/>
      <c r="D7" s="16"/>
      <c r="E7" s="21"/>
      <c r="F7" s="21"/>
      <c r="G7" s="21"/>
      <c r="H7" s="21"/>
      <c r="I7" s="21"/>
      <c r="J7" s="21"/>
      <c r="K7" s="21"/>
      <c r="L7" s="21"/>
      <c r="M7" s="21"/>
      <c r="N7" s="21"/>
      <c r="O7" s="21"/>
      <c r="P7" s="21"/>
      <c r="Q7" s="17"/>
    </row>
    <row r="8" spans="2:40" ht="15" customHeight="1" x14ac:dyDescent="0.3">
      <c r="B8" s="6"/>
      <c r="C8" s="27" t="s">
        <v>206</v>
      </c>
      <c r="D8" s="65">
        <f>D9+D10</f>
        <v>4986</v>
      </c>
      <c r="E8" s="64">
        <f t="shared" ref="E8:Q8" si="0">E9+E10</f>
        <v>5272</v>
      </c>
      <c r="F8" s="64">
        <f t="shared" si="0"/>
        <v>5558</v>
      </c>
      <c r="G8" s="64">
        <f t="shared" si="0"/>
        <v>5844</v>
      </c>
      <c r="H8" s="64">
        <f t="shared" si="0"/>
        <v>6130</v>
      </c>
      <c r="I8" s="64">
        <f t="shared" si="0"/>
        <v>6416</v>
      </c>
      <c r="J8" s="64">
        <f t="shared" si="0"/>
        <v>6702</v>
      </c>
      <c r="K8" s="64">
        <f t="shared" si="0"/>
        <v>7688</v>
      </c>
      <c r="L8" s="64">
        <f t="shared" si="0"/>
        <v>7974</v>
      </c>
      <c r="M8" s="64">
        <f t="shared" si="0"/>
        <v>11060</v>
      </c>
      <c r="N8" s="64">
        <f t="shared" si="0"/>
        <v>11346</v>
      </c>
      <c r="O8" s="64">
        <f t="shared" si="0"/>
        <v>11632</v>
      </c>
      <c r="P8" s="64">
        <f t="shared" si="0"/>
        <v>11918</v>
      </c>
      <c r="Q8" s="66">
        <f t="shared" si="0"/>
        <v>12204</v>
      </c>
      <c r="S8" s="129"/>
      <c r="T8" s="129"/>
      <c r="U8" s="129"/>
      <c r="V8" s="129"/>
      <c r="W8" s="129"/>
      <c r="X8" s="129"/>
      <c r="Y8" s="129"/>
      <c r="Z8" s="129"/>
      <c r="AA8" s="129"/>
      <c r="AB8" s="129"/>
      <c r="AC8" s="129"/>
      <c r="AD8" s="129"/>
      <c r="AE8" s="129"/>
    </row>
    <row r="9" spans="2:40" x14ac:dyDescent="0.3">
      <c r="B9" s="6"/>
      <c r="C9" s="26" t="s">
        <v>207</v>
      </c>
      <c r="D9" s="68">
        <f t="shared" ref="D9:Q9" si="1">AE94</f>
        <v>2726</v>
      </c>
      <c r="E9" s="67">
        <f t="shared" si="1"/>
        <v>3012</v>
      </c>
      <c r="F9" s="67">
        <f t="shared" si="1"/>
        <v>3298</v>
      </c>
      <c r="G9" s="67">
        <f t="shared" si="1"/>
        <v>3584</v>
      </c>
      <c r="H9" s="67">
        <f t="shared" si="1"/>
        <v>3870</v>
      </c>
      <c r="I9" s="67">
        <f t="shared" si="1"/>
        <v>4156</v>
      </c>
      <c r="J9" s="67">
        <f t="shared" si="1"/>
        <v>4442</v>
      </c>
      <c r="K9" s="67">
        <f t="shared" si="1"/>
        <v>4728</v>
      </c>
      <c r="L9" s="67">
        <f t="shared" si="1"/>
        <v>5014</v>
      </c>
      <c r="M9" s="67">
        <f t="shared" si="1"/>
        <v>5300</v>
      </c>
      <c r="N9" s="67">
        <f t="shared" si="1"/>
        <v>5586</v>
      </c>
      <c r="O9" s="67">
        <f t="shared" si="1"/>
        <v>5872</v>
      </c>
      <c r="P9" s="67">
        <f t="shared" si="1"/>
        <v>6158</v>
      </c>
      <c r="Q9" s="69">
        <f t="shared" si="1"/>
        <v>6444</v>
      </c>
      <c r="S9" s="129"/>
      <c r="T9" s="129"/>
      <c r="U9" s="129"/>
      <c r="V9" s="129"/>
      <c r="W9" s="129"/>
      <c r="X9" s="129"/>
      <c r="Y9" s="129"/>
      <c r="Z9" s="129"/>
      <c r="AA9" s="129"/>
      <c r="AB9" s="129"/>
      <c r="AC9" s="129"/>
      <c r="AD9" s="129"/>
      <c r="AE9" s="129"/>
      <c r="AF9" s="129"/>
      <c r="AG9" s="129"/>
      <c r="AH9" s="129"/>
      <c r="AI9" s="129"/>
    </row>
    <row r="10" spans="2:40" ht="15" customHeight="1" x14ac:dyDescent="0.3">
      <c r="B10" s="6"/>
      <c r="C10" s="26" t="s">
        <v>208</v>
      </c>
      <c r="D10" s="68">
        <f t="shared" ref="D10:Q10" si="2">AE124</f>
        <v>2260</v>
      </c>
      <c r="E10" s="163">
        <f t="shared" si="2"/>
        <v>2260</v>
      </c>
      <c r="F10" s="67">
        <f t="shared" si="2"/>
        <v>2260</v>
      </c>
      <c r="G10" s="67">
        <f t="shared" si="2"/>
        <v>2260</v>
      </c>
      <c r="H10" s="67">
        <f t="shared" si="2"/>
        <v>2260</v>
      </c>
      <c r="I10" s="67">
        <f t="shared" si="2"/>
        <v>2260</v>
      </c>
      <c r="J10" s="67">
        <f t="shared" si="2"/>
        <v>2260</v>
      </c>
      <c r="K10" s="67">
        <f t="shared" si="2"/>
        <v>2960</v>
      </c>
      <c r="L10" s="67">
        <f t="shared" si="2"/>
        <v>2960</v>
      </c>
      <c r="M10" s="67">
        <f t="shared" si="2"/>
        <v>5760</v>
      </c>
      <c r="N10" s="67">
        <f t="shared" si="2"/>
        <v>5760</v>
      </c>
      <c r="O10" s="67">
        <f t="shared" si="2"/>
        <v>5760</v>
      </c>
      <c r="P10" s="67">
        <f t="shared" si="2"/>
        <v>5760</v>
      </c>
      <c r="Q10" s="69">
        <f t="shared" si="2"/>
        <v>5760</v>
      </c>
      <c r="S10" s="129"/>
      <c r="T10" s="129"/>
      <c r="U10" s="129"/>
      <c r="V10" s="129"/>
      <c r="W10" s="129"/>
      <c r="X10" s="129"/>
      <c r="Y10" s="129"/>
      <c r="Z10" s="129"/>
      <c r="AA10" s="129"/>
      <c r="AB10" s="129"/>
      <c r="AC10" s="129"/>
      <c r="AD10" s="129"/>
      <c r="AE10" s="129"/>
      <c r="AF10" s="129"/>
      <c r="AG10" s="129"/>
      <c r="AH10" s="129"/>
      <c r="AI10" s="129"/>
    </row>
    <row r="11" spans="2:40" ht="15" customHeight="1" x14ac:dyDescent="0.3">
      <c r="B11" s="6"/>
      <c r="C11" s="26"/>
      <c r="D11" s="71"/>
      <c r="E11" s="70"/>
      <c r="F11" s="70"/>
      <c r="G11" s="70"/>
      <c r="H11" s="70"/>
      <c r="I11" s="70"/>
      <c r="J11" s="70"/>
      <c r="K11" s="70"/>
      <c r="L11" s="70"/>
      <c r="M11" s="70"/>
      <c r="N11" s="70"/>
      <c r="O11" s="70"/>
      <c r="P11" s="70"/>
      <c r="Q11" s="72"/>
    </row>
    <row r="12" spans="2:40" ht="15" customHeight="1" x14ac:dyDescent="0.3">
      <c r="B12" s="6"/>
      <c r="C12" s="27" t="s">
        <v>209</v>
      </c>
      <c r="D12" s="65">
        <f t="shared" ref="D12:Q12" si="3">AE64</f>
        <v>6300</v>
      </c>
      <c r="E12" s="64">
        <f t="shared" si="3"/>
        <v>7300</v>
      </c>
      <c r="F12" s="64">
        <f t="shared" si="3"/>
        <v>8300</v>
      </c>
      <c r="G12" s="64">
        <f t="shared" si="3"/>
        <v>9300</v>
      </c>
      <c r="H12" s="64">
        <f t="shared" si="3"/>
        <v>10100</v>
      </c>
      <c r="I12" s="64">
        <f t="shared" si="3"/>
        <v>10900</v>
      </c>
      <c r="J12" s="64">
        <f t="shared" si="3"/>
        <v>11700</v>
      </c>
      <c r="K12" s="64">
        <f t="shared" si="3"/>
        <v>12500</v>
      </c>
      <c r="L12" s="64">
        <f t="shared" si="3"/>
        <v>13300</v>
      </c>
      <c r="M12" s="64">
        <f t="shared" si="3"/>
        <v>14100</v>
      </c>
      <c r="N12" s="64">
        <f t="shared" si="3"/>
        <v>14900</v>
      </c>
      <c r="O12" s="64">
        <f t="shared" si="3"/>
        <v>15700</v>
      </c>
      <c r="P12" s="64">
        <f t="shared" si="3"/>
        <v>16500</v>
      </c>
      <c r="Q12" s="66">
        <f t="shared" si="3"/>
        <v>17300</v>
      </c>
    </row>
    <row r="13" spans="2:40" ht="15" customHeight="1" x14ac:dyDescent="0.3">
      <c r="B13" s="6"/>
      <c r="C13" s="26"/>
      <c r="D13" s="48"/>
      <c r="E13" s="44"/>
      <c r="F13" s="44"/>
      <c r="G13" s="44"/>
      <c r="H13" s="44"/>
      <c r="I13" s="44"/>
      <c r="J13" s="44"/>
      <c r="K13" s="44"/>
      <c r="L13" s="44"/>
      <c r="M13" s="44"/>
      <c r="N13" s="44"/>
      <c r="O13" s="44"/>
      <c r="P13" s="44"/>
      <c r="Q13" s="45"/>
    </row>
    <row r="14" spans="2:40" ht="15" customHeight="1" x14ac:dyDescent="0.3">
      <c r="B14" s="6"/>
      <c r="C14" s="27" t="s">
        <v>210</v>
      </c>
      <c r="D14" s="65">
        <f t="shared" ref="D14:Q14" si="4">AE150</f>
        <v>121</v>
      </c>
      <c r="E14" s="64">
        <f t="shared" si="4"/>
        <v>125</v>
      </c>
      <c r="F14" s="64">
        <f t="shared" si="4"/>
        <v>129</v>
      </c>
      <c r="G14" s="64">
        <f t="shared" si="4"/>
        <v>133</v>
      </c>
      <c r="H14" s="64">
        <f t="shared" si="4"/>
        <v>137</v>
      </c>
      <c r="I14" s="64">
        <f t="shared" si="4"/>
        <v>140</v>
      </c>
      <c r="J14" s="64">
        <f t="shared" si="4"/>
        <v>143</v>
      </c>
      <c r="K14" s="64">
        <f t="shared" si="4"/>
        <v>145</v>
      </c>
      <c r="L14" s="64">
        <f t="shared" si="4"/>
        <v>148</v>
      </c>
      <c r="M14" s="64">
        <f t="shared" si="4"/>
        <v>151</v>
      </c>
      <c r="N14" s="64">
        <f t="shared" si="4"/>
        <v>154</v>
      </c>
      <c r="O14" s="64">
        <f t="shared" si="4"/>
        <v>157</v>
      </c>
      <c r="P14" s="64">
        <f t="shared" si="4"/>
        <v>160</v>
      </c>
      <c r="Q14" s="66">
        <f t="shared" si="4"/>
        <v>163</v>
      </c>
    </row>
    <row r="15" spans="2:40" x14ac:dyDescent="0.3">
      <c r="B15" s="6"/>
      <c r="C15" s="26"/>
      <c r="D15" s="71"/>
      <c r="E15" s="70"/>
      <c r="F15" s="70"/>
      <c r="G15" s="70"/>
      <c r="H15" s="70"/>
      <c r="I15" s="70"/>
      <c r="J15" s="70"/>
      <c r="K15" s="70"/>
      <c r="L15" s="70"/>
      <c r="M15" s="70"/>
      <c r="N15" s="70"/>
      <c r="O15" s="70"/>
      <c r="P15" s="70"/>
      <c r="Q15" s="72"/>
    </row>
    <row r="16" spans="2:40" x14ac:dyDescent="0.3">
      <c r="B16" s="6"/>
      <c r="C16" s="27" t="s">
        <v>211</v>
      </c>
      <c r="D16" s="65">
        <f t="shared" ref="D16:Q16" si="5">AE161</f>
        <v>0</v>
      </c>
      <c r="E16" s="64">
        <f t="shared" si="5"/>
        <v>1380</v>
      </c>
      <c r="F16" s="64">
        <f t="shared" si="5"/>
        <v>1396</v>
      </c>
      <c r="G16" s="64">
        <f t="shared" si="5"/>
        <v>1396</v>
      </c>
      <c r="H16" s="64">
        <f t="shared" si="5"/>
        <v>1435</v>
      </c>
      <c r="I16" s="64">
        <f t="shared" si="5"/>
        <v>1474</v>
      </c>
      <c r="J16" s="64">
        <f t="shared" si="5"/>
        <v>1512</v>
      </c>
      <c r="K16" s="64">
        <f t="shared" si="5"/>
        <v>1512</v>
      </c>
      <c r="L16" s="64">
        <f t="shared" si="5"/>
        <v>1512</v>
      </c>
      <c r="M16" s="64">
        <f t="shared" si="5"/>
        <v>1512</v>
      </c>
      <c r="N16" s="64">
        <f t="shared" si="5"/>
        <v>1512</v>
      </c>
      <c r="O16" s="64">
        <f t="shared" si="5"/>
        <v>1512</v>
      </c>
      <c r="P16" s="64">
        <f t="shared" si="5"/>
        <v>1512</v>
      </c>
      <c r="Q16" s="66">
        <f t="shared" si="5"/>
        <v>1512</v>
      </c>
    </row>
    <row r="17" spans="2:18" x14ac:dyDescent="0.3">
      <c r="B17" s="6"/>
      <c r="C17" s="26" t="s">
        <v>212</v>
      </c>
      <c r="D17" s="68"/>
      <c r="E17" s="67">
        <v>910.80000000000007</v>
      </c>
      <c r="F17" s="67">
        <v>913</v>
      </c>
      <c r="G17" s="67">
        <v>913</v>
      </c>
      <c r="H17" s="67">
        <v>918</v>
      </c>
      <c r="I17" s="67">
        <v>923</v>
      </c>
      <c r="J17" s="67">
        <v>928</v>
      </c>
      <c r="K17" s="67">
        <v>928</v>
      </c>
      <c r="L17" s="67">
        <v>928</v>
      </c>
      <c r="M17" s="67">
        <v>928</v>
      </c>
      <c r="N17" s="67">
        <v>928</v>
      </c>
      <c r="O17" s="67">
        <v>928</v>
      </c>
      <c r="P17" s="67">
        <v>928</v>
      </c>
      <c r="Q17" s="69">
        <v>928</v>
      </c>
    </row>
    <row r="18" spans="2:18" ht="15" customHeight="1" x14ac:dyDescent="0.3">
      <c r="B18" s="6"/>
      <c r="C18" s="26" t="s">
        <v>213</v>
      </c>
      <c r="D18" s="68"/>
      <c r="E18" s="163">
        <v>469.20000000000005</v>
      </c>
      <c r="F18" s="67">
        <v>483</v>
      </c>
      <c r="G18" s="67">
        <v>483</v>
      </c>
      <c r="H18" s="67">
        <v>517</v>
      </c>
      <c r="I18" s="67">
        <v>551</v>
      </c>
      <c r="J18" s="67">
        <v>584</v>
      </c>
      <c r="K18" s="67">
        <v>584</v>
      </c>
      <c r="L18" s="67">
        <v>584</v>
      </c>
      <c r="M18" s="67">
        <v>584</v>
      </c>
      <c r="N18" s="67">
        <v>584</v>
      </c>
      <c r="O18" s="67">
        <v>584</v>
      </c>
      <c r="P18" s="67">
        <v>584</v>
      </c>
      <c r="Q18" s="69">
        <v>584</v>
      </c>
    </row>
    <row r="19" spans="2:18" ht="15" customHeight="1" x14ac:dyDescent="0.3">
      <c r="B19" s="6"/>
      <c r="C19" s="26"/>
      <c r="D19" s="71"/>
      <c r="E19" s="70"/>
      <c r="F19" s="70"/>
      <c r="G19" s="70"/>
      <c r="H19" s="70"/>
      <c r="I19" s="70"/>
      <c r="J19" s="70"/>
      <c r="K19" s="70"/>
      <c r="L19" s="70"/>
      <c r="M19" s="70"/>
      <c r="N19" s="70"/>
      <c r="O19" s="70"/>
      <c r="P19" s="70"/>
      <c r="Q19" s="72"/>
    </row>
    <row r="20" spans="2:18" ht="15" customHeight="1" x14ac:dyDescent="0.3">
      <c r="B20" s="6"/>
      <c r="C20" s="27" t="s">
        <v>214</v>
      </c>
      <c r="D20" s="65">
        <f t="shared" ref="D20:Q20" si="6">AE160</f>
        <v>0</v>
      </c>
      <c r="E20" s="64">
        <f t="shared" si="6"/>
        <v>534</v>
      </c>
      <c r="F20" s="64">
        <f t="shared" si="6"/>
        <v>534</v>
      </c>
      <c r="G20" s="64">
        <f t="shared" si="6"/>
        <v>534</v>
      </c>
      <c r="H20" s="64">
        <f t="shared" si="6"/>
        <v>539.33333333333337</v>
      </c>
      <c r="I20" s="64">
        <f t="shared" si="6"/>
        <v>544.66666666666663</v>
      </c>
      <c r="J20" s="64">
        <f t="shared" si="6"/>
        <v>550</v>
      </c>
      <c r="K20" s="64">
        <f t="shared" si="6"/>
        <v>550</v>
      </c>
      <c r="L20" s="64">
        <f t="shared" si="6"/>
        <v>550</v>
      </c>
      <c r="M20" s="64">
        <f t="shared" si="6"/>
        <v>550</v>
      </c>
      <c r="N20" s="64">
        <f t="shared" si="6"/>
        <v>550</v>
      </c>
      <c r="O20" s="64">
        <f t="shared" si="6"/>
        <v>550</v>
      </c>
      <c r="P20" s="64">
        <f t="shared" si="6"/>
        <v>550</v>
      </c>
      <c r="Q20" s="66">
        <f t="shared" si="6"/>
        <v>550</v>
      </c>
    </row>
    <row r="21" spans="2:18" x14ac:dyDescent="0.3">
      <c r="B21" s="6"/>
      <c r="C21" s="26"/>
      <c r="D21" s="48"/>
      <c r="E21" s="44"/>
      <c r="F21" s="44"/>
      <c r="G21" s="44"/>
      <c r="H21" s="44"/>
      <c r="I21" s="44"/>
      <c r="J21" s="44"/>
      <c r="K21" s="44"/>
      <c r="L21" s="44"/>
      <c r="M21" s="44"/>
      <c r="N21" s="44"/>
      <c r="O21" s="44"/>
      <c r="P21" s="44"/>
      <c r="Q21" s="45"/>
    </row>
    <row r="22" spans="2:18" ht="15" customHeight="1" x14ac:dyDescent="0.3">
      <c r="B22" s="6"/>
      <c r="C22" s="27" t="s">
        <v>215</v>
      </c>
      <c r="D22" s="65">
        <f t="shared" ref="D22:Q22" si="7">AE159</f>
        <v>0</v>
      </c>
      <c r="E22" s="64">
        <f t="shared" si="7"/>
        <v>48</v>
      </c>
      <c r="F22" s="64">
        <f t="shared" si="7"/>
        <v>48</v>
      </c>
      <c r="G22" s="64">
        <f t="shared" si="7"/>
        <v>48</v>
      </c>
      <c r="H22" s="64">
        <f t="shared" si="7"/>
        <v>48</v>
      </c>
      <c r="I22" s="64">
        <f t="shared" si="7"/>
        <v>48</v>
      </c>
      <c r="J22" s="64">
        <f t="shared" si="7"/>
        <v>48</v>
      </c>
      <c r="K22" s="64">
        <f t="shared" si="7"/>
        <v>48</v>
      </c>
      <c r="L22" s="64">
        <f t="shared" si="7"/>
        <v>48</v>
      </c>
      <c r="M22" s="64">
        <f t="shared" si="7"/>
        <v>48</v>
      </c>
      <c r="N22" s="64">
        <f t="shared" si="7"/>
        <v>48</v>
      </c>
      <c r="O22" s="64">
        <f t="shared" si="7"/>
        <v>48</v>
      </c>
      <c r="P22" s="64">
        <f t="shared" si="7"/>
        <v>48</v>
      </c>
      <c r="Q22" s="66">
        <f t="shared" si="7"/>
        <v>48</v>
      </c>
      <c r="R22" s="15"/>
    </row>
    <row r="23" spans="2:18" ht="15" customHeight="1" thickBot="1" x14ac:dyDescent="0.35">
      <c r="B23" s="7"/>
      <c r="C23" s="28"/>
      <c r="D23" s="49"/>
      <c r="E23" s="46"/>
      <c r="F23" s="46"/>
      <c r="G23" s="46"/>
      <c r="H23" s="46"/>
      <c r="I23" s="46"/>
      <c r="J23" s="46"/>
      <c r="K23" s="46"/>
      <c r="L23" s="46"/>
      <c r="M23" s="46"/>
      <c r="N23" s="46"/>
      <c r="O23" s="46"/>
      <c r="P23" s="46"/>
      <c r="Q23" s="47"/>
      <c r="R23" s="15"/>
    </row>
    <row r="24" spans="2:18" ht="15" customHeight="1" x14ac:dyDescent="0.3">
      <c r="B24" s="30"/>
      <c r="R24" s="15"/>
    </row>
    <row r="25" spans="2:18" ht="15" customHeight="1" x14ac:dyDescent="0.35">
      <c r="B25" s="30"/>
      <c r="C25" s="1" t="s">
        <v>216</v>
      </c>
      <c r="R25" s="15"/>
    </row>
    <row r="26" spans="2:18" ht="15" customHeight="1" x14ac:dyDescent="0.3">
      <c r="B26" s="30"/>
      <c r="R26" s="15"/>
    </row>
    <row r="27" spans="2:18" ht="15" customHeight="1" x14ac:dyDescent="0.3">
      <c r="B27" s="30"/>
      <c r="R27" s="15"/>
    </row>
    <row r="28" spans="2:18" ht="15" customHeight="1" x14ac:dyDescent="0.3">
      <c r="B28" s="30"/>
      <c r="R28" s="15"/>
    </row>
    <row r="29" spans="2:18" ht="15" customHeight="1" x14ac:dyDescent="0.3">
      <c r="B29" s="30"/>
      <c r="R29" s="15"/>
    </row>
    <row r="30" spans="2:18" ht="15" customHeight="1" x14ac:dyDescent="0.3">
      <c r="B30" s="30"/>
      <c r="R30" s="15"/>
    </row>
    <row r="31" spans="2:18" ht="15" customHeight="1" x14ac:dyDescent="0.3">
      <c r="B31" s="30"/>
      <c r="R31" s="15"/>
    </row>
    <row r="32" spans="2:18" ht="15" customHeight="1" x14ac:dyDescent="0.3">
      <c r="B32" s="30"/>
      <c r="R32" s="15"/>
    </row>
    <row r="33" spans="2:18" ht="15" customHeight="1" x14ac:dyDescent="0.3">
      <c r="B33" s="30"/>
      <c r="R33" s="15"/>
    </row>
    <row r="34" spans="2:18" ht="15" customHeight="1" x14ac:dyDescent="0.3">
      <c r="B34" s="30"/>
      <c r="R34" s="15"/>
    </row>
    <row r="35" spans="2:18" ht="15" customHeight="1" x14ac:dyDescent="0.3">
      <c r="B35" s="30"/>
      <c r="R35" s="15"/>
    </row>
    <row r="36" spans="2:18" ht="15" customHeight="1" x14ac:dyDescent="0.3">
      <c r="B36" s="30"/>
      <c r="R36" s="15"/>
    </row>
    <row r="37" spans="2:18" ht="15" customHeight="1" x14ac:dyDescent="0.3">
      <c r="B37" s="30"/>
      <c r="R37" s="15"/>
    </row>
    <row r="38" spans="2:18" ht="15" customHeight="1" x14ac:dyDescent="0.3">
      <c r="B38" s="30"/>
      <c r="R38" s="15"/>
    </row>
    <row r="39" spans="2:18" ht="15" customHeight="1" x14ac:dyDescent="0.3">
      <c r="B39" s="30"/>
      <c r="R39" s="15"/>
    </row>
    <row r="40" spans="2:18" ht="15" customHeight="1" x14ac:dyDescent="0.3">
      <c r="B40" s="30"/>
      <c r="R40" s="15"/>
    </row>
    <row r="41" spans="2:18" ht="15" customHeight="1" x14ac:dyDescent="0.3">
      <c r="B41" s="30"/>
      <c r="R41" s="15"/>
    </row>
    <row r="42" spans="2:18" ht="15" customHeight="1" x14ac:dyDescent="0.3">
      <c r="B42" s="30"/>
      <c r="R42" s="15"/>
    </row>
    <row r="43" spans="2:18" ht="15" customHeight="1" x14ac:dyDescent="0.3">
      <c r="B43" s="30"/>
      <c r="R43" s="15"/>
    </row>
    <row r="44" spans="2:18" ht="15" customHeight="1" x14ac:dyDescent="0.3">
      <c r="B44" s="30"/>
      <c r="R44" s="15"/>
    </row>
    <row r="45" spans="2:18" ht="15" customHeight="1" x14ac:dyDescent="0.3">
      <c r="B45" s="30"/>
      <c r="R45" s="15"/>
    </row>
    <row r="46" spans="2:18" ht="15" customHeight="1" x14ac:dyDescent="0.3">
      <c r="B46" s="30"/>
      <c r="R46" s="15"/>
    </row>
    <row r="47" spans="2:18" ht="15" customHeight="1" x14ac:dyDescent="0.3">
      <c r="B47" s="30"/>
      <c r="R47" s="15"/>
    </row>
    <row r="48" spans="2:18" ht="15" customHeight="1" x14ac:dyDescent="0.3">
      <c r="B48" s="30"/>
      <c r="R48" s="15"/>
    </row>
    <row r="49" spans="1:45" ht="15" customHeight="1" x14ac:dyDescent="0.3">
      <c r="B49" s="30"/>
      <c r="R49" s="15"/>
    </row>
    <row r="50" spans="1:45" ht="15" customHeight="1" x14ac:dyDescent="0.3">
      <c r="B50" s="30"/>
      <c r="R50" s="15"/>
    </row>
    <row r="51" spans="1:45" ht="15" customHeight="1" x14ac:dyDescent="0.3">
      <c r="B51" s="30"/>
      <c r="R51" s="15"/>
    </row>
    <row r="52" spans="1:45" ht="15" customHeight="1" x14ac:dyDescent="0.3">
      <c r="B52" s="30"/>
    </row>
    <row r="53" spans="1:45" ht="15" customHeight="1" x14ac:dyDescent="0.3">
      <c r="A53" s="260"/>
      <c r="B53" s="30"/>
    </row>
    <row r="54" spans="1:45" ht="15" customHeight="1" x14ac:dyDescent="0.3">
      <c r="B54" s="30"/>
      <c r="R54" s="15"/>
    </row>
    <row r="55" spans="1:45" ht="15" customHeight="1" x14ac:dyDescent="0.3">
      <c r="B55" s="1015" t="s">
        <v>209</v>
      </c>
      <c r="C55" s="1008" t="s">
        <v>217</v>
      </c>
      <c r="D55" s="1017"/>
      <c r="E55" s="1017"/>
      <c r="F55" s="261"/>
      <c r="G55" s="261"/>
      <c r="H55" s="261"/>
      <c r="I55" s="261"/>
      <c r="J55" s="261"/>
      <c r="K55" s="261"/>
      <c r="L55" s="261"/>
      <c r="M55" s="261"/>
      <c r="N55" s="261"/>
      <c r="O55" s="261"/>
      <c r="P55" s="261"/>
      <c r="Q55" s="261"/>
      <c r="R55" s="262"/>
      <c r="S55" s="260"/>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row>
    <row r="56" spans="1:45" ht="15" customHeight="1" x14ac:dyDescent="0.3">
      <c r="B56" s="1016"/>
      <c r="C56" s="1018"/>
      <c r="D56" s="1018"/>
      <c r="E56" s="1018"/>
      <c r="F56" s="18"/>
      <c r="G56" s="18"/>
      <c r="H56" s="18"/>
      <c r="I56" s="18"/>
      <c r="J56" s="18"/>
      <c r="K56" s="18"/>
      <c r="L56" s="18"/>
      <c r="M56" s="18"/>
      <c r="N56" s="18"/>
      <c r="O56" s="18"/>
      <c r="P56" s="15"/>
      <c r="Q56" s="15"/>
      <c r="R56" s="15"/>
    </row>
    <row r="57" spans="1:45" ht="15" customHeight="1" x14ac:dyDescent="0.3">
      <c r="B57" s="1016"/>
      <c r="C57" s="1018"/>
      <c r="D57" s="1018"/>
      <c r="E57" s="1018"/>
      <c r="F57" s="58"/>
      <c r="G57" s="58"/>
      <c r="H57" s="18"/>
      <c r="I57" s="18"/>
      <c r="J57" s="18"/>
      <c r="K57" s="18"/>
      <c r="L57" s="18"/>
      <c r="M57" s="18"/>
      <c r="N57" s="18"/>
      <c r="O57" s="18"/>
      <c r="P57" s="15"/>
      <c r="Q57" s="15"/>
      <c r="R57" s="15"/>
    </row>
    <row r="58" spans="1:45" ht="15" customHeight="1" thickBot="1" x14ac:dyDescent="0.35">
      <c r="B58" s="1016"/>
      <c r="C58" s="1018"/>
      <c r="D58" s="1018"/>
      <c r="E58" s="1018"/>
      <c r="P58" s="15"/>
      <c r="Q58" s="15"/>
      <c r="R58" s="15"/>
      <c r="S58" s="12"/>
      <c r="T58" s="12">
        <v>2010</v>
      </c>
      <c r="U58" s="12">
        <v>2011</v>
      </c>
      <c r="V58" s="12">
        <v>2012</v>
      </c>
      <c r="W58" s="12">
        <v>2013</v>
      </c>
      <c r="X58" s="12">
        <v>2014</v>
      </c>
      <c r="Y58" s="12">
        <v>2015</v>
      </c>
      <c r="Z58" s="12">
        <v>2016</v>
      </c>
      <c r="AA58" s="12">
        <v>2017</v>
      </c>
      <c r="AB58" s="12">
        <v>2018</v>
      </c>
      <c r="AC58" s="12">
        <v>2019</v>
      </c>
      <c r="AD58" s="12">
        <v>2020</v>
      </c>
      <c r="AE58" s="12">
        <v>2021</v>
      </c>
      <c r="AF58" s="12">
        <v>2022</v>
      </c>
      <c r="AG58" s="12">
        <v>2023</v>
      </c>
      <c r="AH58" s="12">
        <v>2024</v>
      </c>
      <c r="AI58" s="12">
        <v>2025</v>
      </c>
      <c r="AJ58" s="12">
        <v>2026</v>
      </c>
      <c r="AK58" s="12">
        <v>2027</v>
      </c>
      <c r="AL58" s="12">
        <v>2028</v>
      </c>
      <c r="AM58" s="12">
        <v>2029</v>
      </c>
      <c r="AN58" s="12">
        <v>2030</v>
      </c>
      <c r="AO58" s="12">
        <v>2031</v>
      </c>
      <c r="AP58" s="12">
        <v>2032</v>
      </c>
      <c r="AQ58" s="12">
        <v>2033</v>
      </c>
      <c r="AR58" s="12">
        <v>2034</v>
      </c>
    </row>
    <row r="59" spans="1:45" ht="15" customHeight="1" x14ac:dyDescent="0.3">
      <c r="B59" s="1016"/>
      <c r="C59" s="1018"/>
      <c r="D59" s="1018"/>
      <c r="E59" s="1018"/>
      <c r="P59" s="15"/>
      <c r="Q59" s="15"/>
      <c r="R59" s="15" t="s">
        <v>218</v>
      </c>
      <c r="T59" s="2">
        <v>1006.9999999999999</v>
      </c>
      <c r="U59" s="2">
        <v>1979</v>
      </c>
      <c r="V59" s="2">
        <v>2647</v>
      </c>
      <c r="W59" s="2">
        <v>2902</v>
      </c>
      <c r="X59" s="2">
        <v>3014</v>
      </c>
      <c r="Y59" s="2">
        <v>3131</v>
      </c>
      <c r="Z59" s="2">
        <v>3200</v>
      </c>
      <c r="AA59" s="2">
        <v>3587</v>
      </c>
      <c r="AB59" s="2">
        <v>4000</v>
      </c>
      <c r="AC59" s="2">
        <v>4600</v>
      </c>
      <c r="AD59" s="2">
        <v>5600</v>
      </c>
      <c r="AE59" s="2">
        <v>6300</v>
      </c>
    </row>
    <row r="60" spans="1:45" ht="15" customHeight="1" x14ac:dyDescent="0.3">
      <c r="B60" s="1016"/>
      <c r="C60" s="1018"/>
      <c r="D60" s="1018"/>
      <c r="E60" s="1018"/>
      <c r="H60" s="18"/>
      <c r="I60" s="18"/>
      <c r="J60" s="18"/>
      <c r="K60" s="18"/>
      <c r="L60" s="18"/>
      <c r="O60" s="263"/>
      <c r="P60" s="263"/>
      <c r="Q60" s="263"/>
      <c r="R60" s="15" t="s">
        <v>219</v>
      </c>
      <c r="S60" s="264"/>
      <c r="T60" s="264"/>
      <c r="U60" s="264"/>
      <c r="V60" s="264"/>
      <c r="W60" s="2"/>
      <c r="AI60">
        <v>8000</v>
      </c>
      <c r="AN60">
        <v>11000</v>
      </c>
    </row>
    <row r="61" spans="1:45" ht="15" customHeight="1" x14ac:dyDescent="0.3">
      <c r="B61" s="1016"/>
      <c r="C61" s="1018"/>
      <c r="D61" s="1018"/>
      <c r="E61" s="1018"/>
      <c r="F61" s="58"/>
      <c r="G61" s="58"/>
      <c r="H61" s="18"/>
      <c r="I61" s="18"/>
      <c r="J61" s="18"/>
      <c r="K61" s="18"/>
      <c r="L61" s="18"/>
      <c r="M61" s="18"/>
      <c r="N61" s="18"/>
      <c r="O61" s="18"/>
      <c r="P61" s="15"/>
      <c r="Q61" s="15"/>
      <c r="R61" s="15" t="s">
        <v>220</v>
      </c>
      <c r="AF61" s="76">
        <v>6352</v>
      </c>
      <c r="AG61" s="76">
        <v>6902</v>
      </c>
      <c r="AH61" s="76">
        <v>7451</v>
      </c>
      <c r="AI61" s="76">
        <v>8000</v>
      </c>
      <c r="AJ61" s="76">
        <v>8600</v>
      </c>
      <c r="AK61" s="76">
        <v>9200</v>
      </c>
      <c r="AL61" s="76">
        <v>9800</v>
      </c>
      <c r="AM61" s="76">
        <v>10400</v>
      </c>
      <c r="AN61" s="76">
        <v>11000</v>
      </c>
      <c r="AO61" s="76">
        <v>11600</v>
      </c>
      <c r="AP61" s="76">
        <v>12200</v>
      </c>
    </row>
    <row r="62" spans="1:45" ht="15" customHeight="1" x14ac:dyDescent="0.3">
      <c r="B62" s="1016"/>
      <c r="C62" s="1018"/>
      <c r="D62" s="1018"/>
      <c r="E62" s="1018"/>
      <c r="H62" s="15"/>
      <c r="I62" s="15"/>
      <c r="J62" s="15"/>
      <c r="K62" s="15"/>
      <c r="L62" s="15"/>
      <c r="M62" s="15"/>
      <c r="N62" s="15"/>
      <c r="O62" s="15"/>
      <c r="P62" s="15"/>
      <c r="Q62" s="15"/>
      <c r="R62" s="15" t="s">
        <v>221</v>
      </c>
      <c r="AN62">
        <v>11600</v>
      </c>
    </row>
    <row r="63" spans="1:45" ht="15.75" customHeight="1" x14ac:dyDescent="0.3">
      <c r="B63" s="1016"/>
      <c r="C63" s="1018"/>
      <c r="D63" s="1018"/>
      <c r="E63" s="1018"/>
      <c r="R63" s="15" t="s">
        <v>222</v>
      </c>
      <c r="AI63">
        <v>10900</v>
      </c>
    </row>
    <row r="64" spans="1:45" x14ac:dyDescent="0.3">
      <c r="B64" s="1016"/>
      <c r="C64" s="1018"/>
      <c r="D64" s="1018"/>
      <c r="E64" s="1018"/>
      <c r="R64" s="15" t="s">
        <v>223</v>
      </c>
      <c r="AE64">
        <f>AE59</f>
        <v>6300</v>
      </c>
      <c r="AF64" s="76">
        <f>AE59+1000</f>
        <v>7300</v>
      </c>
      <c r="AG64" s="76">
        <f>AF64+1000</f>
        <v>8300</v>
      </c>
      <c r="AH64" s="76">
        <f>AG64+1000</f>
        <v>9300</v>
      </c>
      <c r="AI64" s="76">
        <f>AH64+800</f>
        <v>10100</v>
      </c>
      <c r="AJ64" s="76">
        <f t="shared" ref="AJ64:AR64" si="8">AI64+800</f>
        <v>10900</v>
      </c>
      <c r="AK64" s="76">
        <f t="shared" si="8"/>
        <v>11700</v>
      </c>
      <c r="AL64" s="76">
        <f t="shared" si="8"/>
        <v>12500</v>
      </c>
      <c r="AM64" s="76">
        <f t="shared" si="8"/>
        <v>13300</v>
      </c>
      <c r="AN64" s="76">
        <f t="shared" si="8"/>
        <v>14100</v>
      </c>
      <c r="AO64" s="76">
        <f t="shared" si="8"/>
        <v>14900</v>
      </c>
      <c r="AP64" s="76">
        <f t="shared" si="8"/>
        <v>15700</v>
      </c>
      <c r="AQ64" s="76">
        <f t="shared" si="8"/>
        <v>16500</v>
      </c>
      <c r="AR64" s="76">
        <f t="shared" si="8"/>
        <v>17300</v>
      </c>
    </row>
    <row r="65" spans="2:18" x14ac:dyDescent="0.3">
      <c r="B65" s="1016"/>
      <c r="C65" s="1018"/>
      <c r="D65" s="1018"/>
      <c r="E65" s="1018"/>
    </row>
    <row r="66" spans="2:18" x14ac:dyDescent="0.3">
      <c r="B66" s="1016"/>
      <c r="C66" s="1018"/>
      <c r="D66" s="1018"/>
      <c r="E66" s="1018"/>
      <c r="R66" s="15"/>
    </row>
    <row r="67" spans="2:18" x14ac:dyDescent="0.3">
      <c r="B67" s="1016"/>
      <c r="C67" s="1018"/>
      <c r="D67" s="1018"/>
      <c r="E67" s="1018"/>
      <c r="R67" s="15"/>
    </row>
    <row r="68" spans="2:18" ht="14.4" customHeight="1" x14ac:dyDescent="0.3">
      <c r="B68" s="1016"/>
      <c r="C68" s="1018"/>
      <c r="D68" s="1018"/>
      <c r="E68" s="1018"/>
      <c r="R68" s="15"/>
    </row>
    <row r="69" spans="2:18" x14ac:dyDescent="0.3">
      <c r="B69" s="1016"/>
      <c r="C69" s="1018"/>
      <c r="D69" s="1018"/>
      <c r="E69" s="1018"/>
    </row>
    <row r="70" spans="2:18" x14ac:dyDescent="0.3">
      <c r="B70" s="1016"/>
      <c r="C70" s="1018"/>
      <c r="D70" s="1018"/>
      <c r="E70" s="1018"/>
    </row>
    <row r="71" spans="2:18" x14ac:dyDescent="0.3">
      <c r="B71" s="1016"/>
      <c r="C71" s="1018"/>
      <c r="D71" s="1018"/>
      <c r="E71" s="1018"/>
    </row>
    <row r="72" spans="2:18" x14ac:dyDescent="0.3">
      <c r="B72" s="1016"/>
      <c r="C72" s="1018"/>
      <c r="D72" s="1018"/>
      <c r="E72" s="1018"/>
    </row>
    <row r="73" spans="2:18" x14ac:dyDescent="0.3">
      <c r="B73" s="1016"/>
      <c r="C73" s="1018"/>
      <c r="D73" s="1018"/>
      <c r="E73" s="1018"/>
    </row>
    <row r="74" spans="2:18" ht="14.4" customHeight="1" x14ac:dyDescent="0.3">
      <c r="B74" s="1016"/>
      <c r="C74" s="1018"/>
      <c r="D74" s="1018"/>
      <c r="E74" s="1018"/>
    </row>
    <row r="75" spans="2:18" x14ac:dyDescent="0.3">
      <c r="B75" s="1016"/>
      <c r="C75" s="1018"/>
      <c r="D75" s="1018"/>
      <c r="E75" s="1018"/>
    </row>
    <row r="76" spans="2:18" x14ac:dyDescent="0.3">
      <c r="B76" s="1016"/>
      <c r="C76" s="1018"/>
      <c r="D76" s="1018"/>
      <c r="E76" s="1018"/>
    </row>
    <row r="77" spans="2:18" x14ac:dyDescent="0.3">
      <c r="B77" s="1016"/>
      <c r="C77" s="1018"/>
      <c r="D77" s="1018"/>
      <c r="E77" s="1018"/>
    </row>
    <row r="78" spans="2:18" x14ac:dyDescent="0.3">
      <c r="B78" s="1016"/>
      <c r="C78" s="1018"/>
      <c r="D78" s="1018"/>
      <c r="E78" s="1018"/>
    </row>
    <row r="79" spans="2:18" x14ac:dyDescent="0.3">
      <c r="B79" s="1016"/>
      <c r="C79" s="1018"/>
      <c r="D79" s="1018"/>
      <c r="E79" s="1018"/>
    </row>
    <row r="80" spans="2:18" x14ac:dyDescent="0.3">
      <c r="B80" s="1016"/>
      <c r="C80" s="1018"/>
      <c r="D80" s="1018"/>
      <c r="E80" s="1018"/>
    </row>
    <row r="81" spans="1:45" x14ac:dyDescent="0.3">
      <c r="B81" s="1016"/>
      <c r="C81" s="1018"/>
      <c r="D81" s="1018"/>
      <c r="E81" s="1018"/>
    </row>
    <row r="82" spans="1:45" x14ac:dyDescent="0.3">
      <c r="B82" s="1016"/>
      <c r="C82" s="1018"/>
      <c r="D82" s="1018"/>
      <c r="E82" s="1018"/>
    </row>
    <row r="83" spans="1:45" x14ac:dyDescent="0.3">
      <c r="B83" s="1016"/>
      <c r="C83" s="1018"/>
      <c r="D83" s="1018"/>
      <c r="E83" s="1018"/>
    </row>
    <row r="84" spans="1:45" x14ac:dyDescent="0.3">
      <c r="A84" s="260"/>
      <c r="B84" s="1016"/>
      <c r="C84" s="1018"/>
      <c r="D84" s="1018"/>
      <c r="E84" s="1018"/>
    </row>
    <row r="85" spans="1:45" x14ac:dyDescent="0.3">
      <c r="B85" s="30"/>
      <c r="R85" s="15"/>
    </row>
    <row r="86" spans="1:45" x14ac:dyDescent="0.3">
      <c r="B86" s="1019" t="s">
        <v>207</v>
      </c>
      <c r="C86" s="1008" t="s">
        <v>224</v>
      </c>
      <c r="D86" s="1017"/>
      <c r="E86" s="1017"/>
      <c r="F86" s="261"/>
      <c r="G86" s="261"/>
      <c r="H86" s="261"/>
      <c r="I86" s="261"/>
      <c r="J86" s="261"/>
      <c r="K86" s="261"/>
      <c r="L86" s="261"/>
      <c r="M86" s="261"/>
      <c r="N86" s="261"/>
      <c r="O86" s="261"/>
      <c r="P86" s="261"/>
      <c r="Q86" s="261"/>
      <c r="R86" s="262"/>
      <c r="S86" s="260"/>
      <c r="T86" s="260"/>
      <c r="U86" s="262"/>
      <c r="V86" s="262"/>
      <c r="W86" s="262"/>
      <c r="X86" s="262"/>
      <c r="Y86" s="262"/>
      <c r="Z86" s="262"/>
      <c r="AA86" s="262"/>
      <c r="AB86" s="262"/>
      <c r="AC86" s="262"/>
      <c r="AD86" s="262"/>
      <c r="AE86" s="262"/>
      <c r="AF86" s="262"/>
      <c r="AG86" s="262"/>
      <c r="AH86" s="262"/>
      <c r="AI86" s="262"/>
      <c r="AJ86" s="262"/>
      <c r="AK86" s="262"/>
      <c r="AL86" s="262"/>
      <c r="AM86" s="262"/>
      <c r="AN86" s="262"/>
      <c r="AO86" s="262"/>
      <c r="AP86" s="262"/>
      <c r="AQ86" s="262"/>
      <c r="AR86" s="262"/>
      <c r="AS86" s="262"/>
    </row>
    <row r="87" spans="1:45" x14ac:dyDescent="0.3">
      <c r="B87" s="1020"/>
      <c r="C87" s="1018"/>
      <c r="D87" s="1018"/>
      <c r="E87" s="1018"/>
      <c r="F87" s="18"/>
      <c r="G87" s="18"/>
      <c r="H87" s="18"/>
      <c r="I87" s="18"/>
      <c r="J87" s="18"/>
      <c r="K87" s="18"/>
      <c r="L87" s="18"/>
      <c r="M87" s="18"/>
      <c r="N87" s="18"/>
      <c r="O87" s="18"/>
      <c r="P87" s="15"/>
      <c r="Q87" s="15"/>
      <c r="R87" s="15"/>
      <c r="AK87" s="76"/>
      <c r="AL87" s="76"/>
      <c r="AM87" s="76"/>
      <c r="AN87" s="76"/>
    </row>
    <row r="88" spans="1:45" x14ac:dyDescent="0.3">
      <c r="B88" s="1020"/>
      <c r="C88" s="1018"/>
      <c r="D88" s="1018"/>
      <c r="E88" s="1018"/>
      <c r="F88" s="58"/>
      <c r="G88" s="58"/>
      <c r="H88" s="18"/>
      <c r="I88" s="18"/>
      <c r="J88" s="18"/>
      <c r="K88" s="18"/>
      <c r="L88" s="18"/>
      <c r="M88" s="18"/>
      <c r="N88" s="18"/>
      <c r="O88" s="18"/>
      <c r="P88" s="15"/>
      <c r="Q88" s="15"/>
      <c r="R88" s="15"/>
    </row>
    <row r="89" spans="1:45" ht="15" thickBot="1" x14ac:dyDescent="0.35">
      <c r="B89" s="1020"/>
      <c r="C89" s="1018"/>
      <c r="D89" s="1018"/>
      <c r="E89" s="1018"/>
      <c r="P89" s="15"/>
      <c r="Q89" s="15"/>
      <c r="R89" s="15"/>
      <c r="S89" s="12"/>
      <c r="T89" s="12">
        <v>2010</v>
      </c>
      <c r="U89" s="12">
        <v>2011</v>
      </c>
      <c r="V89" s="12">
        <v>2012</v>
      </c>
      <c r="W89" s="12">
        <v>2013</v>
      </c>
      <c r="X89" s="12">
        <v>2014</v>
      </c>
      <c r="Y89" s="12">
        <v>2015</v>
      </c>
      <c r="Z89" s="12">
        <v>2016</v>
      </c>
      <c r="AA89" s="12">
        <v>2017</v>
      </c>
      <c r="AB89" s="12">
        <v>2018</v>
      </c>
      <c r="AC89" s="12">
        <v>2019</v>
      </c>
      <c r="AD89" s="12">
        <v>2020</v>
      </c>
      <c r="AE89" s="12">
        <v>2021</v>
      </c>
      <c r="AF89" s="12">
        <v>2022</v>
      </c>
      <c r="AG89" s="12">
        <v>2023</v>
      </c>
      <c r="AH89" s="12">
        <v>2024</v>
      </c>
      <c r="AI89" s="12">
        <v>2025</v>
      </c>
      <c r="AJ89" s="12">
        <v>2026</v>
      </c>
      <c r="AK89" s="12">
        <v>2027</v>
      </c>
      <c r="AL89" s="12">
        <v>2028</v>
      </c>
      <c r="AM89" s="12">
        <v>2029</v>
      </c>
      <c r="AN89" s="12">
        <v>2030</v>
      </c>
      <c r="AO89" s="12">
        <v>2031</v>
      </c>
      <c r="AP89" s="12">
        <v>2032</v>
      </c>
      <c r="AQ89" s="12">
        <v>2033</v>
      </c>
      <c r="AR89" s="12">
        <v>2034</v>
      </c>
    </row>
    <row r="90" spans="1:45" x14ac:dyDescent="0.3">
      <c r="B90" s="1020"/>
      <c r="C90" s="1018"/>
      <c r="D90" s="1018"/>
      <c r="E90" s="1018"/>
      <c r="P90" s="15"/>
      <c r="Q90" s="15"/>
      <c r="R90" s="15" t="s">
        <v>218</v>
      </c>
      <c r="T90" s="2">
        <v>716</v>
      </c>
      <c r="U90" s="2">
        <v>873</v>
      </c>
      <c r="V90" s="2">
        <v>989</v>
      </c>
      <c r="W90" s="2">
        <v>1072</v>
      </c>
      <c r="X90" s="2">
        <v>1236</v>
      </c>
      <c r="Y90" s="2">
        <v>1464</v>
      </c>
      <c r="Z90" s="2">
        <v>1658</v>
      </c>
      <c r="AA90" s="2">
        <v>1915</v>
      </c>
      <c r="AB90" s="2">
        <v>2130</v>
      </c>
      <c r="AC90" s="2">
        <v>2320</v>
      </c>
      <c r="AD90" s="2">
        <v>2471</v>
      </c>
      <c r="AE90" s="2">
        <v>2726</v>
      </c>
    </row>
    <row r="91" spans="1:45" x14ac:dyDescent="0.3">
      <c r="B91" s="1020"/>
      <c r="C91" s="1018"/>
      <c r="D91" s="1018"/>
      <c r="E91" s="1018"/>
      <c r="H91" s="18"/>
      <c r="I91" s="18"/>
      <c r="J91" s="18"/>
      <c r="K91" s="18"/>
      <c r="L91" s="18"/>
      <c r="O91" s="263"/>
      <c r="P91" s="263"/>
      <c r="Q91" s="263"/>
      <c r="R91" s="15" t="s">
        <v>219</v>
      </c>
      <c r="S91" s="264"/>
      <c r="T91" s="264"/>
      <c r="U91" s="264"/>
      <c r="V91" s="264"/>
      <c r="W91" s="2"/>
      <c r="AI91">
        <v>3747</v>
      </c>
      <c r="AN91">
        <v>4900</v>
      </c>
    </row>
    <row r="92" spans="1:45" x14ac:dyDescent="0.3">
      <c r="B92" s="1020"/>
      <c r="C92" s="1018"/>
      <c r="D92" s="1018"/>
      <c r="E92" s="1018"/>
      <c r="F92" s="58"/>
      <c r="G92" s="58"/>
      <c r="H92" s="18"/>
      <c r="I92" s="18"/>
      <c r="J92" s="18"/>
      <c r="K92" s="18"/>
      <c r="L92" s="18"/>
      <c r="M92" s="18"/>
      <c r="N92" s="18"/>
      <c r="O92" s="18"/>
      <c r="P92" s="15"/>
      <c r="Q92" s="15"/>
      <c r="R92" s="15" t="s">
        <v>220</v>
      </c>
      <c r="AF92" s="76">
        <v>2981.42</v>
      </c>
      <c r="AG92" s="76">
        <v>3236.63</v>
      </c>
      <c r="AH92" s="76">
        <v>3491.84</v>
      </c>
      <c r="AI92" s="76">
        <v>3747</v>
      </c>
      <c r="AJ92" s="76">
        <v>3978</v>
      </c>
      <c r="AK92" s="76">
        <v>4208</v>
      </c>
      <c r="AL92" s="76">
        <v>4439</v>
      </c>
      <c r="AM92" s="76">
        <v>4669</v>
      </c>
      <c r="AN92">
        <v>4900</v>
      </c>
      <c r="AO92" s="76">
        <f>AN92+(AN92-AM92)</f>
        <v>5131</v>
      </c>
      <c r="AP92" s="76">
        <f>AO92+(AO92-AN92)</f>
        <v>5362</v>
      </c>
    </row>
    <row r="93" spans="1:45" x14ac:dyDescent="0.3">
      <c r="B93" s="1020"/>
      <c r="C93" s="1018"/>
      <c r="D93" s="1018"/>
      <c r="E93" s="1018"/>
      <c r="H93" s="15"/>
      <c r="I93" s="15"/>
      <c r="J93" s="15"/>
      <c r="K93" s="15"/>
      <c r="L93" s="15"/>
      <c r="M93" s="15"/>
      <c r="N93" s="15"/>
      <c r="O93" s="15"/>
      <c r="P93" s="15"/>
      <c r="Q93" s="15"/>
      <c r="R93" s="15" t="s">
        <v>221</v>
      </c>
      <c r="AN93">
        <v>5300</v>
      </c>
      <c r="AP93" s="76"/>
    </row>
    <row r="94" spans="1:45" x14ac:dyDescent="0.3">
      <c r="B94" s="1020"/>
      <c r="C94" s="1018"/>
      <c r="D94" s="1018"/>
      <c r="E94" s="1018"/>
      <c r="R94" s="15" t="s">
        <v>223</v>
      </c>
      <c r="AE94" s="2">
        <f>AE90</f>
        <v>2726</v>
      </c>
      <c r="AF94" s="2">
        <f t="shared" ref="AF94:AM94" si="9">AE94+($AN$94-$AE$94)/9</f>
        <v>3012</v>
      </c>
      <c r="AG94" s="2">
        <f t="shared" si="9"/>
        <v>3298</v>
      </c>
      <c r="AH94" s="2">
        <f t="shared" si="9"/>
        <v>3584</v>
      </c>
      <c r="AI94" s="2">
        <f t="shared" si="9"/>
        <v>3870</v>
      </c>
      <c r="AJ94" s="2">
        <f t="shared" si="9"/>
        <v>4156</v>
      </c>
      <c r="AK94" s="2">
        <f t="shared" si="9"/>
        <v>4442</v>
      </c>
      <c r="AL94" s="2">
        <f t="shared" si="9"/>
        <v>4728</v>
      </c>
      <c r="AM94" s="2">
        <f t="shared" si="9"/>
        <v>5014</v>
      </c>
      <c r="AN94" s="2">
        <f>AN93</f>
        <v>5300</v>
      </c>
      <c r="AO94" s="2">
        <f>AN94+($AN$94-$AE$94)/9</f>
        <v>5586</v>
      </c>
      <c r="AP94" s="2">
        <f>AO94+($AN$94-$AE$94)/9</f>
        <v>5872</v>
      </c>
      <c r="AQ94" s="2">
        <f>AP94+($AN$94-$AE$94)/9</f>
        <v>6158</v>
      </c>
      <c r="AR94" s="2">
        <f>AQ94+($AN$94-$AE$94)/9</f>
        <v>6444</v>
      </c>
    </row>
    <row r="95" spans="1:45" x14ac:dyDescent="0.3">
      <c r="B95" s="1020"/>
      <c r="C95" s="1018"/>
      <c r="D95" s="1018"/>
      <c r="E95" s="1018"/>
    </row>
    <row r="96" spans="1:45" x14ac:dyDescent="0.3">
      <c r="B96" s="1020"/>
      <c r="C96" s="1018"/>
      <c r="D96" s="1018"/>
      <c r="E96" s="1018"/>
      <c r="R96" s="15"/>
    </row>
    <row r="97" spans="2:40" x14ac:dyDescent="0.3">
      <c r="B97" s="1020"/>
      <c r="C97" s="1018"/>
      <c r="D97" s="1018"/>
      <c r="E97" s="1018"/>
      <c r="R97" s="15"/>
    </row>
    <row r="98" spans="2:40" x14ac:dyDescent="0.3">
      <c r="B98" s="1020"/>
      <c r="C98" s="1018"/>
      <c r="D98" s="1018"/>
      <c r="E98" s="1018"/>
      <c r="R98" s="15"/>
      <c r="AN98" s="76"/>
    </row>
    <row r="99" spans="2:40" x14ac:dyDescent="0.3">
      <c r="B99" s="1020"/>
      <c r="C99" s="1018"/>
      <c r="D99" s="1018"/>
      <c r="E99" s="1018"/>
    </row>
    <row r="100" spans="2:40" x14ac:dyDescent="0.3">
      <c r="B100" s="1020"/>
      <c r="C100" s="1018"/>
      <c r="D100" s="1018"/>
      <c r="E100" s="1018"/>
    </row>
    <row r="101" spans="2:40" x14ac:dyDescent="0.3">
      <c r="B101" s="1020"/>
      <c r="C101" s="1018"/>
      <c r="D101" s="1018"/>
      <c r="E101" s="1018"/>
    </row>
    <row r="102" spans="2:40" x14ac:dyDescent="0.3">
      <c r="B102" s="1020"/>
      <c r="C102" s="1018"/>
      <c r="D102" s="1018"/>
      <c r="E102" s="1018"/>
    </row>
    <row r="103" spans="2:40" x14ac:dyDescent="0.3">
      <c r="B103" s="1020"/>
      <c r="C103" s="1018"/>
      <c r="D103" s="1018"/>
      <c r="E103" s="1018"/>
    </row>
    <row r="104" spans="2:40" x14ac:dyDescent="0.3">
      <c r="B104" s="1020"/>
      <c r="C104" s="1018"/>
      <c r="D104" s="1018"/>
      <c r="E104" s="1018"/>
    </row>
    <row r="105" spans="2:40" x14ac:dyDescent="0.3">
      <c r="B105" s="1020"/>
      <c r="C105" s="1018"/>
      <c r="D105" s="1018"/>
      <c r="E105" s="1018"/>
    </row>
    <row r="106" spans="2:40" x14ac:dyDescent="0.3">
      <c r="B106" s="1020"/>
      <c r="C106" s="1018"/>
      <c r="D106" s="1018"/>
      <c r="E106" s="1018"/>
    </row>
    <row r="107" spans="2:40" x14ac:dyDescent="0.3">
      <c r="B107" s="1020"/>
      <c r="C107" s="1018"/>
      <c r="D107" s="1018"/>
      <c r="E107" s="1018"/>
    </row>
    <row r="108" spans="2:40" x14ac:dyDescent="0.3">
      <c r="B108" s="1020"/>
      <c r="C108" s="1018"/>
      <c r="D108" s="1018"/>
      <c r="E108" s="1018"/>
    </row>
    <row r="109" spans="2:40" x14ac:dyDescent="0.3">
      <c r="B109" s="1020"/>
      <c r="C109" s="1018"/>
      <c r="D109" s="1018"/>
      <c r="E109" s="1018"/>
    </row>
    <row r="110" spans="2:40" x14ac:dyDescent="0.3">
      <c r="B110" s="1020"/>
      <c r="C110" s="1018"/>
      <c r="D110" s="1018"/>
      <c r="E110" s="1018"/>
    </row>
    <row r="111" spans="2:40" x14ac:dyDescent="0.3">
      <c r="B111" s="1020"/>
      <c r="C111" s="1018"/>
      <c r="D111" s="1018"/>
      <c r="E111" s="1018"/>
    </row>
    <row r="112" spans="2:40" x14ac:dyDescent="0.3">
      <c r="B112" s="1020"/>
      <c r="C112" s="1018"/>
      <c r="D112" s="1018"/>
      <c r="E112" s="1018"/>
    </row>
    <row r="113" spans="1:45" x14ac:dyDescent="0.3">
      <c r="B113" s="1020"/>
      <c r="C113" s="1018"/>
      <c r="D113" s="1018"/>
      <c r="E113" s="1018"/>
    </row>
    <row r="114" spans="1:45" x14ac:dyDescent="0.3">
      <c r="B114" s="1020"/>
      <c r="C114" s="1018"/>
      <c r="D114" s="1018"/>
      <c r="E114" s="1018"/>
    </row>
    <row r="115" spans="1:45" x14ac:dyDescent="0.3">
      <c r="A115" s="260"/>
      <c r="B115" s="1020"/>
      <c r="C115" s="1018"/>
      <c r="D115" s="1018"/>
      <c r="E115" s="1018"/>
    </row>
    <row r="117" spans="1:45" x14ac:dyDescent="0.3">
      <c r="B117" s="1021" t="s">
        <v>208</v>
      </c>
      <c r="C117" s="1008" t="s">
        <v>225</v>
      </c>
      <c r="D117" s="1017"/>
      <c r="E117" s="1017"/>
      <c r="F117" s="261"/>
      <c r="G117" s="261"/>
      <c r="H117" s="261"/>
      <c r="I117" s="261"/>
      <c r="J117" s="261"/>
      <c r="K117" s="261"/>
      <c r="L117" s="261"/>
      <c r="M117" s="261"/>
      <c r="N117" s="261"/>
      <c r="O117" s="261"/>
      <c r="P117" s="261"/>
      <c r="Q117" s="261"/>
      <c r="R117" s="262"/>
      <c r="S117" s="260"/>
      <c r="T117" s="260"/>
      <c r="U117" s="262"/>
      <c r="V117" s="262"/>
      <c r="W117" s="262"/>
      <c r="X117" s="262"/>
      <c r="Y117" s="262"/>
      <c r="Z117" s="262"/>
      <c r="AA117" s="262"/>
      <c r="AB117" s="262"/>
      <c r="AC117" s="262"/>
      <c r="AD117" s="262"/>
      <c r="AE117" s="262"/>
      <c r="AF117" s="262"/>
      <c r="AG117" s="262"/>
      <c r="AH117" s="262"/>
      <c r="AI117" s="262"/>
      <c r="AJ117" s="262"/>
      <c r="AK117" s="262"/>
      <c r="AL117" s="262"/>
      <c r="AM117" s="262"/>
      <c r="AN117" s="262"/>
      <c r="AO117" s="262"/>
      <c r="AP117" s="262"/>
      <c r="AQ117" s="262"/>
      <c r="AR117" s="262"/>
      <c r="AS117" s="262"/>
    </row>
    <row r="118" spans="1:45" x14ac:dyDescent="0.3">
      <c r="B118" s="1022"/>
      <c r="C118" s="1018"/>
      <c r="D118" s="1018"/>
      <c r="E118" s="1018"/>
      <c r="F118" s="18"/>
      <c r="G118" s="18"/>
      <c r="H118" s="18"/>
      <c r="I118" s="18"/>
      <c r="J118" s="18"/>
      <c r="K118" s="18"/>
      <c r="L118" s="18"/>
      <c r="M118" s="18"/>
      <c r="N118" s="18"/>
      <c r="O118" s="18"/>
      <c r="P118" s="15"/>
      <c r="Q118" s="15"/>
      <c r="R118" s="15"/>
      <c r="AK118" s="76"/>
      <c r="AL118" s="76"/>
      <c r="AM118" s="76"/>
      <c r="AN118" s="76"/>
    </row>
    <row r="119" spans="1:45" x14ac:dyDescent="0.3">
      <c r="B119" s="1022"/>
      <c r="C119" s="1018"/>
      <c r="D119" s="1018"/>
      <c r="E119" s="1018"/>
      <c r="F119" s="58"/>
      <c r="G119" s="58"/>
      <c r="H119" s="18"/>
      <c r="I119" s="18"/>
      <c r="J119" s="18"/>
      <c r="K119" s="18"/>
      <c r="L119" s="18"/>
      <c r="M119" s="18"/>
      <c r="N119" s="18"/>
      <c r="O119" s="18"/>
      <c r="P119" s="15"/>
      <c r="Q119" s="15"/>
      <c r="R119" s="15"/>
    </row>
    <row r="120" spans="1:45" ht="15" thickBot="1" x14ac:dyDescent="0.35">
      <c r="B120" s="1022"/>
      <c r="C120" s="1018"/>
      <c r="D120" s="1018"/>
      <c r="E120" s="1018"/>
      <c r="P120" s="15"/>
      <c r="Q120" s="15"/>
      <c r="R120" s="15"/>
      <c r="S120" s="12"/>
      <c r="T120" s="12">
        <v>2010</v>
      </c>
      <c r="U120" s="12">
        <v>2011</v>
      </c>
      <c r="V120" s="12">
        <v>2012</v>
      </c>
      <c r="W120" s="12">
        <v>2013</v>
      </c>
      <c r="X120" s="12">
        <v>2014</v>
      </c>
      <c r="Y120" s="12">
        <v>2015</v>
      </c>
      <c r="Z120" s="12">
        <v>2016</v>
      </c>
      <c r="AA120" s="12">
        <v>2017</v>
      </c>
      <c r="AB120" s="12">
        <v>2018</v>
      </c>
      <c r="AC120" s="12">
        <v>2019</v>
      </c>
      <c r="AD120" s="12">
        <v>2020</v>
      </c>
      <c r="AE120" s="12">
        <v>2021</v>
      </c>
      <c r="AF120" s="12">
        <v>2022</v>
      </c>
      <c r="AG120" s="12">
        <v>2023</v>
      </c>
      <c r="AH120" s="12">
        <v>2024</v>
      </c>
      <c r="AI120" s="12">
        <v>2025</v>
      </c>
      <c r="AJ120" s="12">
        <v>2026</v>
      </c>
      <c r="AK120" s="12">
        <v>2027</v>
      </c>
      <c r="AL120" s="12">
        <v>2028</v>
      </c>
      <c r="AM120" s="12">
        <v>2029</v>
      </c>
      <c r="AN120" s="12">
        <v>2030</v>
      </c>
      <c r="AO120" s="12">
        <v>2031</v>
      </c>
      <c r="AP120" s="12">
        <v>2032</v>
      </c>
      <c r="AQ120" s="12">
        <v>2033</v>
      </c>
      <c r="AR120" s="12">
        <v>2034</v>
      </c>
    </row>
    <row r="121" spans="1:45" x14ac:dyDescent="0.3">
      <c r="B121" s="1022"/>
      <c r="C121" s="1018"/>
      <c r="D121" s="1018"/>
      <c r="E121" s="1018"/>
      <c r="P121" s="15"/>
      <c r="Q121" s="15"/>
      <c r="R121" s="15" t="s">
        <v>218</v>
      </c>
      <c r="T121" s="2">
        <v>200</v>
      </c>
      <c r="U121" s="2">
        <v>200</v>
      </c>
      <c r="V121" s="2">
        <v>400</v>
      </c>
      <c r="W121" s="2">
        <v>400</v>
      </c>
      <c r="X121" s="2">
        <v>700</v>
      </c>
      <c r="Y121" s="2">
        <v>700</v>
      </c>
      <c r="Z121" s="2">
        <v>700</v>
      </c>
      <c r="AA121" s="2">
        <v>900</v>
      </c>
      <c r="AB121" s="2">
        <v>1100</v>
      </c>
      <c r="AC121" s="2">
        <v>1570</v>
      </c>
      <c r="AD121" s="2">
        <v>2260</v>
      </c>
      <c r="AE121" s="2">
        <v>2260</v>
      </c>
      <c r="AF121" s="2"/>
      <c r="AG121" s="2"/>
      <c r="AH121" s="2"/>
    </row>
    <row r="122" spans="1:45" x14ac:dyDescent="0.3">
      <c r="B122" s="1022"/>
      <c r="C122" s="1018"/>
      <c r="D122" s="1018"/>
      <c r="E122" s="1018"/>
      <c r="H122" s="18"/>
      <c r="I122" s="18"/>
      <c r="J122" s="18"/>
      <c r="K122" s="18"/>
      <c r="L122" s="18"/>
      <c r="O122" s="263"/>
      <c r="P122" s="263"/>
      <c r="Q122" s="263"/>
      <c r="R122" s="15" t="s">
        <v>219</v>
      </c>
      <c r="S122" s="264"/>
      <c r="T122" s="264"/>
      <c r="U122" s="264"/>
      <c r="V122" s="264"/>
      <c r="W122" s="2"/>
    </row>
    <row r="123" spans="1:45" x14ac:dyDescent="0.3">
      <c r="B123" s="1022"/>
      <c r="C123" s="1018"/>
      <c r="D123" s="1018"/>
      <c r="E123" s="1018"/>
      <c r="F123" s="58"/>
      <c r="G123" s="58"/>
      <c r="H123" s="18"/>
      <c r="I123" s="18"/>
      <c r="J123" s="18"/>
      <c r="K123" s="18"/>
      <c r="L123" s="18"/>
      <c r="M123" s="18"/>
      <c r="N123" s="18"/>
      <c r="O123" s="18"/>
      <c r="P123" s="15"/>
      <c r="Q123" s="15"/>
      <c r="R123" s="15" t="s">
        <v>220</v>
      </c>
      <c r="AF123" s="2">
        <v>2253</v>
      </c>
      <c r="AG123" s="2">
        <v>2253</v>
      </c>
      <c r="AH123" s="2">
        <v>2253</v>
      </c>
      <c r="AI123" s="2">
        <v>2253</v>
      </c>
      <c r="AJ123" s="2">
        <v>2953</v>
      </c>
      <c r="AK123" s="2">
        <v>2953</v>
      </c>
      <c r="AL123" s="2">
        <v>4000</v>
      </c>
      <c r="AM123" s="2">
        <v>4000</v>
      </c>
      <c r="AN123" s="2">
        <v>4000</v>
      </c>
      <c r="AO123" s="2">
        <v>4000</v>
      </c>
      <c r="AP123" s="2">
        <v>4000</v>
      </c>
      <c r="AQ123" s="2"/>
    </row>
    <row r="124" spans="1:45" x14ac:dyDescent="0.3">
      <c r="B124" s="1022"/>
      <c r="C124" s="1018"/>
      <c r="D124" s="1018"/>
      <c r="E124" s="1018"/>
      <c r="H124" s="15"/>
      <c r="I124" s="15"/>
      <c r="J124" s="15"/>
      <c r="K124" s="15"/>
      <c r="L124" s="15"/>
      <c r="M124" s="15"/>
      <c r="N124" s="15"/>
      <c r="O124" s="15"/>
      <c r="P124" s="15"/>
      <c r="Q124" s="15"/>
      <c r="R124" s="15" t="s">
        <v>223</v>
      </c>
      <c r="AE124" s="2">
        <v>2260</v>
      </c>
      <c r="AF124" s="2">
        <v>2260</v>
      </c>
      <c r="AG124" s="2">
        <v>2260</v>
      </c>
      <c r="AH124" s="2">
        <v>2260</v>
      </c>
      <c r="AI124" s="2">
        <v>2260</v>
      </c>
      <c r="AJ124" s="2">
        <v>2260</v>
      </c>
      <c r="AK124" s="2">
        <v>2260</v>
      </c>
      <c r="AL124" s="2">
        <v>2960</v>
      </c>
      <c r="AM124" s="2">
        <v>2960</v>
      </c>
      <c r="AN124" s="2">
        <v>5760</v>
      </c>
      <c r="AO124" s="2">
        <v>5760</v>
      </c>
      <c r="AP124" s="2">
        <v>5760</v>
      </c>
      <c r="AQ124" s="2">
        <v>5760</v>
      </c>
      <c r="AR124" s="2">
        <v>5760</v>
      </c>
    </row>
    <row r="125" spans="1:45" x14ac:dyDescent="0.3">
      <c r="B125" s="1022"/>
      <c r="C125" s="1018"/>
      <c r="D125" s="1018"/>
      <c r="E125" s="1018"/>
      <c r="R125" s="15"/>
      <c r="AO125" s="76"/>
      <c r="AP125" s="76"/>
    </row>
    <row r="126" spans="1:45" x14ac:dyDescent="0.3">
      <c r="B126" s="1022"/>
      <c r="C126" s="1018"/>
      <c r="D126" s="1018"/>
      <c r="E126" s="1018"/>
      <c r="AS126" s="2"/>
    </row>
    <row r="127" spans="1:45" x14ac:dyDescent="0.3">
      <c r="B127" s="1022"/>
      <c r="C127" s="1018"/>
      <c r="D127" s="1018"/>
      <c r="E127" s="1018"/>
      <c r="R127" s="15"/>
    </row>
    <row r="128" spans="1:45" x14ac:dyDescent="0.3">
      <c r="B128" s="1022"/>
      <c r="C128" s="1018"/>
      <c r="D128" s="1018"/>
      <c r="E128" s="1018"/>
      <c r="R128" s="15"/>
    </row>
    <row r="129" spans="2:40" x14ac:dyDescent="0.3">
      <c r="B129" s="1022"/>
      <c r="C129" s="1018"/>
      <c r="D129" s="1018"/>
      <c r="E129" s="1018"/>
      <c r="R129" s="15"/>
      <c r="AN129" s="76"/>
    </row>
    <row r="130" spans="2:40" x14ac:dyDescent="0.3">
      <c r="B130" s="1022"/>
      <c r="C130" s="1018"/>
      <c r="D130" s="1018"/>
      <c r="E130" s="1018"/>
    </row>
    <row r="131" spans="2:40" x14ac:dyDescent="0.3">
      <c r="B131" s="1022"/>
      <c r="C131" s="1018"/>
      <c r="D131" s="1018"/>
      <c r="E131" s="1018"/>
    </row>
    <row r="132" spans="2:40" x14ac:dyDescent="0.3">
      <c r="B132" s="1022"/>
      <c r="C132" s="1018"/>
      <c r="D132" s="1018"/>
      <c r="E132" s="1018"/>
    </row>
    <row r="133" spans="2:40" x14ac:dyDescent="0.3">
      <c r="B133" s="1022"/>
      <c r="C133" s="1018"/>
      <c r="D133" s="1018"/>
      <c r="E133" s="1018"/>
    </row>
    <row r="134" spans="2:40" x14ac:dyDescent="0.3">
      <c r="B134" s="1022"/>
      <c r="C134" s="1018"/>
      <c r="D134" s="1018"/>
      <c r="E134" s="1018"/>
    </row>
    <row r="135" spans="2:40" x14ac:dyDescent="0.3">
      <c r="B135" s="1022"/>
      <c r="C135" s="1018"/>
      <c r="D135" s="1018"/>
      <c r="E135" s="1018"/>
    </row>
    <row r="136" spans="2:40" x14ac:dyDescent="0.3">
      <c r="B136" s="1022"/>
      <c r="C136" s="1018"/>
      <c r="D136" s="1018"/>
      <c r="E136" s="1018"/>
    </row>
    <row r="137" spans="2:40" x14ac:dyDescent="0.3">
      <c r="B137" s="1022"/>
      <c r="C137" s="1018"/>
      <c r="D137" s="1018"/>
      <c r="E137" s="1018"/>
    </row>
    <row r="138" spans="2:40" x14ac:dyDescent="0.3">
      <c r="B138" s="1022"/>
      <c r="C138" s="1018"/>
      <c r="D138" s="1018"/>
      <c r="E138" s="1018"/>
    </row>
    <row r="139" spans="2:40" x14ac:dyDescent="0.3">
      <c r="B139" s="1022"/>
      <c r="C139" s="1018"/>
      <c r="D139" s="1018"/>
      <c r="E139" s="1018"/>
    </row>
    <row r="140" spans="2:40" x14ac:dyDescent="0.3">
      <c r="B140" s="1022"/>
      <c r="C140" s="1018"/>
      <c r="D140" s="1018"/>
      <c r="E140" s="1018"/>
    </row>
    <row r="141" spans="2:40" x14ac:dyDescent="0.3">
      <c r="B141" s="1022"/>
      <c r="C141" s="1018"/>
      <c r="D141" s="1018"/>
      <c r="E141" s="1018"/>
    </row>
    <row r="142" spans="2:40" x14ac:dyDescent="0.3">
      <c r="B142" s="1022"/>
      <c r="C142" s="1018"/>
      <c r="D142" s="1018"/>
      <c r="E142" s="1018"/>
    </row>
    <row r="143" spans="2:40" x14ac:dyDescent="0.3">
      <c r="B143" s="1022"/>
      <c r="C143" s="1018"/>
      <c r="D143" s="1018"/>
      <c r="E143" s="1018"/>
    </row>
    <row r="144" spans="2:40" x14ac:dyDescent="0.3">
      <c r="B144" s="1022"/>
      <c r="C144" s="1018"/>
      <c r="D144" s="1018"/>
      <c r="E144" s="1018"/>
    </row>
    <row r="145" spans="1:45" x14ac:dyDescent="0.3">
      <c r="B145" s="1022"/>
      <c r="C145" s="1018"/>
      <c r="D145" s="1018"/>
      <c r="E145" s="1018"/>
    </row>
    <row r="146" spans="1:45" ht="15" customHeight="1" x14ac:dyDescent="0.3">
      <c r="A146" s="260"/>
      <c r="B146" s="1022"/>
      <c r="C146" s="1018"/>
      <c r="D146" s="1018"/>
      <c r="E146" s="1018"/>
    </row>
    <row r="147" spans="1:45" ht="15" customHeight="1" x14ac:dyDescent="0.3"/>
    <row r="148" spans="1:45" ht="15" customHeight="1" x14ac:dyDescent="0.3">
      <c r="B148" s="1006" t="s">
        <v>226</v>
      </c>
      <c r="C148" s="1008" t="s">
        <v>227</v>
      </c>
      <c r="D148" s="1008"/>
      <c r="E148" s="1008"/>
      <c r="F148" s="1008"/>
      <c r="G148" s="1008"/>
      <c r="H148" s="1008"/>
      <c r="I148" s="1008"/>
      <c r="J148" s="261"/>
      <c r="K148" s="261"/>
      <c r="L148" s="261"/>
      <c r="M148" s="261"/>
      <c r="N148" s="261"/>
      <c r="O148" s="261"/>
      <c r="P148" s="261"/>
      <c r="Q148" s="261"/>
      <c r="R148" s="262"/>
      <c r="S148" s="260"/>
      <c r="T148" s="260"/>
      <c r="U148" s="262"/>
      <c r="V148" s="262"/>
      <c r="W148" s="262"/>
      <c r="X148" s="262"/>
      <c r="Y148" s="262"/>
      <c r="Z148" s="262"/>
      <c r="AA148" s="262"/>
      <c r="AB148" s="262"/>
      <c r="AC148" s="262"/>
      <c r="AD148" s="262"/>
      <c r="AE148" s="262"/>
      <c r="AF148" s="262"/>
      <c r="AG148" s="262"/>
      <c r="AH148" s="262"/>
      <c r="AI148" s="262"/>
      <c r="AJ148" s="262"/>
      <c r="AK148" s="262"/>
      <c r="AL148" s="262"/>
      <c r="AM148" s="262"/>
      <c r="AN148" s="262"/>
      <c r="AO148" s="262"/>
      <c r="AP148" s="262"/>
      <c r="AQ148" s="262"/>
      <c r="AR148" s="262"/>
      <c r="AS148" s="262"/>
    </row>
    <row r="149" spans="1:45" ht="15.75" customHeight="1" thickBot="1" x14ac:dyDescent="0.35">
      <c r="B149" s="1007"/>
      <c r="C149" s="1009"/>
      <c r="D149" s="1009"/>
      <c r="E149" s="1009"/>
      <c r="F149" s="1009"/>
      <c r="G149" s="1009"/>
      <c r="H149" s="1009"/>
      <c r="I149" s="1009"/>
      <c r="J149" s="18"/>
      <c r="K149" s="18"/>
      <c r="L149" s="18"/>
      <c r="M149" s="18"/>
      <c r="N149" s="18"/>
      <c r="O149" s="18"/>
      <c r="P149" s="15"/>
      <c r="Q149" s="15"/>
      <c r="R149" s="15"/>
      <c r="S149" s="12"/>
      <c r="T149" s="12"/>
      <c r="U149" s="12"/>
      <c r="V149" s="12"/>
      <c r="W149" s="12"/>
      <c r="X149" s="12"/>
      <c r="Y149" s="12"/>
      <c r="Z149" s="12"/>
      <c r="AA149" s="12"/>
      <c r="AB149" s="12"/>
      <c r="AC149" s="12"/>
      <c r="AD149" s="12"/>
      <c r="AE149" s="12">
        <v>2021</v>
      </c>
      <c r="AF149" s="12">
        <v>2022</v>
      </c>
      <c r="AG149" s="12">
        <v>2023</v>
      </c>
      <c r="AH149" s="12">
        <v>2024</v>
      </c>
      <c r="AI149" s="12">
        <v>2025</v>
      </c>
      <c r="AJ149" s="12">
        <v>2026</v>
      </c>
      <c r="AK149" s="12">
        <v>2027</v>
      </c>
      <c r="AL149" s="12">
        <v>2028</v>
      </c>
      <c r="AM149" s="12">
        <v>2029</v>
      </c>
      <c r="AN149" s="12">
        <v>2030</v>
      </c>
      <c r="AO149" s="12">
        <v>2031</v>
      </c>
      <c r="AP149" s="12">
        <v>2032</v>
      </c>
      <c r="AQ149" s="12">
        <v>2033</v>
      </c>
      <c r="AR149" s="12">
        <v>2034</v>
      </c>
    </row>
    <row r="150" spans="1:45" ht="15" customHeight="1" x14ac:dyDescent="0.3">
      <c r="B150" s="1007"/>
      <c r="C150" s="1009"/>
      <c r="D150" s="1009"/>
      <c r="E150" s="1009"/>
      <c r="F150" s="1009"/>
      <c r="G150" s="1009"/>
      <c r="H150" s="1009"/>
      <c r="I150" s="1009"/>
      <c r="J150" s="18"/>
      <c r="K150" s="18"/>
      <c r="L150" s="18"/>
      <c r="M150" s="18"/>
      <c r="N150" s="18"/>
      <c r="O150" s="18"/>
      <c r="P150" s="15"/>
      <c r="Q150" s="15"/>
      <c r="R150" s="15" t="s">
        <v>228</v>
      </c>
      <c r="T150" s="2"/>
      <c r="U150" s="2"/>
      <c r="V150" s="2"/>
      <c r="W150" s="2"/>
      <c r="X150" s="2"/>
      <c r="Y150" s="2"/>
      <c r="Z150" s="2"/>
      <c r="AA150" s="2"/>
      <c r="AB150" s="2"/>
      <c r="AC150" s="2"/>
      <c r="AD150" s="2"/>
      <c r="AE150" s="2">
        <v>121</v>
      </c>
      <c r="AF150" s="2">
        <v>125</v>
      </c>
      <c r="AG150" s="2">
        <v>129</v>
      </c>
      <c r="AH150" s="2">
        <v>133</v>
      </c>
      <c r="AI150">
        <v>137</v>
      </c>
      <c r="AJ150">
        <v>140</v>
      </c>
      <c r="AK150">
        <v>143</v>
      </c>
      <c r="AL150">
        <v>145</v>
      </c>
      <c r="AM150">
        <v>148</v>
      </c>
      <c r="AN150">
        <v>151</v>
      </c>
      <c r="AO150">
        <f>AN150+($AN$150-$AM$150)</f>
        <v>154</v>
      </c>
      <c r="AP150">
        <f>AO150+($AN$150-$AM$150)</f>
        <v>157</v>
      </c>
      <c r="AQ150">
        <f>AP150+($AN$150-$AM$150)</f>
        <v>160</v>
      </c>
      <c r="AR150">
        <f>AQ150+($AN$150-$AM$150)</f>
        <v>163</v>
      </c>
    </row>
    <row r="151" spans="1:45" ht="15" customHeight="1" x14ac:dyDescent="0.3">
      <c r="B151" s="1007"/>
      <c r="C151" s="1009"/>
      <c r="D151" s="1009"/>
      <c r="E151" s="1009"/>
      <c r="F151" s="1009"/>
      <c r="G151" s="1009"/>
      <c r="H151" s="1009"/>
      <c r="I151" s="1009"/>
      <c r="P151" s="15"/>
      <c r="Q151" s="15"/>
      <c r="R151" s="15"/>
      <c r="S151" s="264"/>
      <c r="T151" s="264"/>
      <c r="U151" s="264"/>
      <c r="V151" s="264"/>
      <c r="W151" s="2"/>
    </row>
    <row r="152" spans="1:45" ht="15" customHeight="1" x14ac:dyDescent="0.3">
      <c r="B152" s="1007"/>
      <c r="C152" s="1009"/>
      <c r="D152" s="1009"/>
      <c r="E152" s="1009"/>
      <c r="F152" s="1009"/>
      <c r="G152" s="1009"/>
      <c r="H152" s="1009"/>
      <c r="I152" s="1009"/>
      <c r="P152" s="15"/>
      <c r="Q152" s="15"/>
      <c r="R152" s="15"/>
      <c r="AF152" s="2"/>
      <c r="AG152" s="2"/>
      <c r="AH152" s="2"/>
      <c r="AI152" s="2"/>
      <c r="AJ152" s="2"/>
      <c r="AK152" s="2"/>
      <c r="AL152" s="2"/>
      <c r="AM152" s="2"/>
      <c r="AN152" s="2"/>
      <c r="AO152" s="2"/>
      <c r="AP152" s="2"/>
      <c r="AQ152" s="2"/>
    </row>
    <row r="153" spans="1:45" ht="15" customHeight="1" x14ac:dyDescent="0.3">
      <c r="B153" s="1007"/>
      <c r="C153" s="1009"/>
      <c r="D153" s="1009"/>
      <c r="E153" s="1009"/>
      <c r="F153" s="1009"/>
      <c r="G153" s="1009"/>
      <c r="H153" s="1009"/>
      <c r="I153" s="1009"/>
      <c r="J153" s="18"/>
      <c r="K153" s="18"/>
      <c r="L153" s="18"/>
      <c r="O153" s="263"/>
      <c r="P153" s="263"/>
      <c r="Q153" s="263"/>
      <c r="R153" s="15"/>
      <c r="AP153" s="76"/>
    </row>
    <row r="154" spans="1:45" ht="15" customHeight="1" x14ac:dyDescent="0.3">
      <c r="B154" s="1007"/>
      <c r="C154" s="1009"/>
      <c r="D154" s="1009"/>
      <c r="E154" s="1009"/>
      <c r="F154" s="1009"/>
      <c r="G154" s="1009"/>
      <c r="H154" s="1009"/>
      <c r="I154" s="1009"/>
      <c r="J154" s="18"/>
      <c r="K154" s="18"/>
      <c r="L154" s="18"/>
      <c r="M154" s="18"/>
      <c r="N154" s="18"/>
      <c r="O154" s="18"/>
      <c r="P154" s="15"/>
      <c r="Q154" s="15"/>
      <c r="R154" s="15"/>
      <c r="AO154" s="76"/>
      <c r="AP154" s="76"/>
    </row>
    <row r="155" spans="1:45" ht="15" customHeight="1" x14ac:dyDescent="0.3">
      <c r="A155" s="260"/>
      <c r="B155" s="1007"/>
      <c r="C155" s="1009"/>
      <c r="D155" s="1009"/>
      <c r="E155" s="1009"/>
      <c r="F155" s="1009"/>
      <c r="G155" s="1009"/>
      <c r="H155" s="1009"/>
      <c r="I155" s="1009"/>
      <c r="J155" s="15"/>
      <c r="K155" s="15"/>
      <c r="L155" s="15"/>
      <c r="M155" s="15"/>
      <c r="N155" s="15"/>
      <c r="O155" s="15"/>
      <c r="P155" s="15"/>
      <c r="Q155" s="15"/>
      <c r="R155" s="15"/>
      <c r="AE155" s="2"/>
      <c r="AF155" s="2"/>
      <c r="AG155" s="2"/>
      <c r="AH155" s="2"/>
      <c r="AI155" s="2"/>
      <c r="AJ155" s="2"/>
      <c r="AK155" s="2"/>
      <c r="AL155" s="2"/>
      <c r="AM155" s="2"/>
      <c r="AN155" s="2"/>
      <c r="AO155" s="2"/>
      <c r="AP155" s="2"/>
      <c r="AQ155" s="2"/>
      <c r="AR155" s="2"/>
      <c r="AS155" s="2"/>
    </row>
    <row r="156" spans="1:45" ht="15" customHeight="1" x14ac:dyDescent="0.3">
      <c r="B156" s="265"/>
      <c r="C156" s="266"/>
      <c r="D156" s="266"/>
      <c r="E156" s="266"/>
      <c r="R156" s="15"/>
    </row>
    <row r="157" spans="1:45" ht="15" customHeight="1" x14ac:dyDescent="0.3">
      <c r="B157" s="1010" t="s">
        <v>229</v>
      </c>
      <c r="C157" s="1008" t="s">
        <v>230</v>
      </c>
      <c r="D157" s="1008"/>
      <c r="E157" s="1008"/>
      <c r="F157" s="1008"/>
      <c r="G157" s="1008"/>
      <c r="H157" s="1008"/>
      <c r="I157" s="1008"/>
      <c r="J157" s="1008"/>
      <c r="K157" s="1008"/>
      <c r="L157" s="1008"/>
      <c r="M157" s="1008"/>
      <c r="N157" s="261"/>
      <c r="O157" s="261"/>
      <c r="P157" s="261"/>
      <c r="Q157" s="261"/>
      <c r="R157" s="262"/>
      <c r="S157" s="260"/>
      <c r="T157" s="260"/>
      <c r="U157" s="262"/>
      <c r="V157" s="262"/>
      <c r="W157" s="262"/>
      <c r="X157" s="262"/>
      <c r="Y157" s="262"/>
      <c r="Z157" s="262"/>
      <c r="AA157" s="262"/>
      <c r="AB157" s="262"/>
      <c r="AC157" s="262"/>
      <c r="AD157" s="262"/>
      <c r="AE157" s="262"/>
      <c r="AF157" s="262"/>
      <c r="AG157" s="262"/>
      <c r="AH157" s="262"/>
      <c r="AI157" s="262"/>
      <c r="AJ157" s="262"/>
      <c r="AK157" s="262"/>
      <c r="AL157" s="262"/>
      <c r="AM157" s="262"/>
      <c r="AN157" s="262"/>
      <c r="AO157" s="262"/>
      <c r="AP157" s="262"/>
      <c r="AQ157" s="262"/>
      <c r="AR157" s="262"/>
      <c r="AS157" s="262"/>
    </row>
    <row r="158" spans="1:45" ht="15.75" customHeight="1" thickBot="1" x14ac:dyDescent="0.35">
      <c r="B158" s="1011"/>
      <c r="C158" s="1009"/>
      <c r="D158" s="1009"/>
      <c r="E158" s="1009"/>
      <c r="F158" s="1009"/>
      <c r="G158" s="1009"/>
      <c r="H158" s="1009"/>
      <c r="I158" s="1009"/>
      <c r="J158" s="1009"/>
      <c r="K158" s="1009"/>
      <c r="L158" s="1009"/>
      <c r="M158" s="1009"/>
      <c r="N158" s="18"/>
      <c r="O158" s="18"/>
      <c r="P158" s="15"/>
      <c r="Q158" s="15"/>
      <c r="R158" s="15"/>
      <c r="S158" s="12"/>
      <c r="T158" s="12"/>
      <c r="U158" s="12"/>
      <c r="V158" s="12"/>
      <c r="W158" s="12"/>
      <c r="X158" s="12"/>
      <c r="Y158" s="12"/>
      <c r="Z158" s="12"/>
      <c r="AA158" s="12"/>
      <c r="AB158" s="12"/>
      <c r="AC158" s="12"/>
      <c r="AD158" s="12"/>
      <c r="AE158" s="12">
        <v>2021</v>
      </c>
      <c r="AF158" s="12">
        <v>2022</v>
      </c>
      <c r="AG158" s="12">
        <v>2023</v>
      </c>
      <c r="AH158" s="12">
        <v>2024</v>
      </c>
      <c r="AI158" s="12">
        <v>2025</v>
      </c>
      <c r="AJ158" s="12">
        <v>2026</v>
      </c>
      <c r="AK158" s="12">
        <v>2027</v>
      </c>
      <c r="AL158" s="12">
        <v>2028</v>
      </c>
      <c r="AM158" s="12">
        <v>2029</v>
      </c>
      <c r="AN158" s="12">
        <v>2030</v>
      </c>
      <c r="AO158" s="12">
        <v>2031</v>
      </c>
      <c r="AP158" s="12">
        <v>2032</v>
      </c>
      <c r="AQ158" s="12">
        <v>2033</v>
      </c>
      <c r="AR158" s="12">
        <v>2034</v>
      </c>
    </row>
    <row r="159" spans="1:45" ht="15" customHeight="1" x14ac:dyDescent="0.3">
      <c r="B159" s="1011"/>
      <c r="C159" s="1009"/>
      <c r="D159" s="1009"/>
      <c r="E159" s="1009"/>
      <c r="F159" s="1009"/>
      <c r="G159" s="1009"/>
      <c r="H159" s="1009"/>
      <c r="I159" s="1009"/>
      <c r="J159" s="1009"/>
      <c r="K159" s="1009"/>
      <c r="L159" s="1009"/>
      <c r="M159" s="1009"/>
      <c r="N159" s="18"/>
      <c r="O159" s="18"/>
      <c r="P159" s="15"/>
      <c r="Q159" s="15"/>
      <c r="R159" s="15" t="s">
        <v>73</v>
      </c>
      <c r="T159" s="2"/>
      <c r="U159" s="2"/>
      <c r="V159" s="2"/>
      <c r="W159" s="2"/>
      <c r="X159" s="2"/>
      <c r="Y159" s="2"/>
      <c r="Z159" s="2"/>
      <c r="AA159" s="2"/>
      <c r="AB159" s="2"/>
      <c r="AC159" s="2"/>
      <c r="AD159" s="2"/>
      <c r="AE159" s="267"/>
      <c r="AF159" s="267">
        <v>48</v>
      </c>
      <c r="AG159" s="267">
        <v>48</v>
      </c>
      <c r="AH159" s="267">
        <v>48</v>
      </c>
      <c r="AI159" s="267">
        <v>48</v>
      </c>
      <c r="AJ159" s="267">
        <v>48</v>
      </c>
      <c r="AK159" s="267">
        <v>48</v>
      </c>
      <c r="AL159" s="267">
        <v>48</v>
      </c>
      <c r="AM159" s="267">
        <v>48</v>
      </c>
      <c r="AN159" s="267">
        <v>48</v>
      </c>
      <c r="AO159" s="267">
        <v>48</v>
      </c>
      <c r="AP159" s="267">
        <v>48</v>
      </c>
      <c r="AQ159" s="267">
        <v>48</v>
      </c>
      <c r="AR159" s="267">
        <v>48</v>
      </c>
    </row>
    <row r="160" spans="1:45" ht="15" customHeight="1" x14ac:dyDescent="0.3">
      <c r="B160" s="1011"/>
      <c r="C160" s="1009"/>
      <c r="D160" s="1009"/>
      <c r="E160" s="1009"/>
      <c r="F160" s="1009"/>
      <c r="G160" s="1009"/>
      <c r="H160" s="1009"/>
      <c r="I160" s="1009"/>
      <c r="J160" s="1009"/>
      <c r="K160" s="1009"/>
      <c r="L160" s="1009"/>
      <c r="M160" s="1009"/>
      <c r="P160" s="15"/>
      <c r="Q160" s="15"/>
      <c r="R160" s="15" t="s">
        <v>60</v>
      </c>
      <c r="S160" s="264"/>
      <c r="T160" s="264"/>
      <c r="U160" s="264"/>
      <c r="V160" s="264"/>
      <c r="W160" s="2"/>
      <c r="AE160" s="268"/>
      <c r="AF160" s="267">
        <v>534</v>
      </c>
      <c r="AG160" s="267">
        <v>534</v>
      </c>
      <c r="AH160" s="267">
        <v>534</v>
      </c>
      <c r="AI160" s="267">
        <v>539.33333333333337</v>
      </c>
      <c r="AJ160" s="267">
        <v>544.66666666666663</v>
      </c>
      <c r="AK160" s="267">
        <v>550</v>
      </c>
      <c r="AL160" s="267">
        <v>550</v>
      </c>
      <c r="AM160" s="267">
        <v>550</v>
      </c>
      <c r="AN160" s="267">
        <v>550</v>
      </c>
      <c r="AO160" s="267">
        <v>550</v>
      </c>
      <c r="AP160" s="267">
        <v>550</v>
      </c>
      <c r="AQ160" s="267">
        <v>550</v>
      </c>
      <c r="AR160" s="267">
        <v>550</v>
      </c>
    </row>
    <row r="161" spans="2:45" ht="15" customHeight="1" x14ac:dyDescent="0.3">
      <c r="B161" s="1011"/>
      <c r="C161" s="1009"/>
      <c r="D161" s="1009"/>
      <c r="E161" s="1009"/>
      <c r="F161" s="1009"/>
      <c r="G161" s="1009"/>
      <c r="H161" s="1009"/>
      <c r="I161" s="1009"/>
      <c r="J161" s="1009"/>
      <c r="K161" s="1009"/>
      <c r="L161" s="1009"/>
      <c r="M161" s="1009"/>
      <c r="P161" s="15"/>
      <c r="Q161" s="15"/>
      <c r="R161" s="15" t="s">
        <v>77</v>
      </c>
      <c r="AE161" s="268"/>
      <c r="AF161" s="267">
        <v>1380</v>
      </c>
      <c r="AG161" s="267">
        <v>1396</v>
      </c>
      <c r="AH161" s="267">
        <v>1396</v>
      </c>
      <c r="AI161" s="267">
        <v>1435</v>
      </c>
      <c r="AJ161" s="267">
        <v>1474</v>
      </c>
      <c r="AK161" s="267">
        <v>1512</v>
      </c>
      <c r="AL161" s="267">
        <v>1512</v>
      </c>
      <c r="AM161" s="267">
        <v>1512</v>
      </c>
      <c r="AN161" s="267">
        <v>1512</v>
      </c>
      <c r="AO161" s="267">
        <v>1512</v>
      </c>
      <c r="AP161" s="267">
        <v>1512</v>
      </c>
      <c r="AQ161" s="267">
        <v>1512</v>
      </c>
      <c r="AR161" s="267">
        <v>1512</v>
      </c>
    </row>
    <row r="162" spans="2:45" ht="15" customHeight="1" x14ac:dyDescent="0.3">
      <c r="B162" s="1011"/>
      <c r="C162" s="1009"/>
      <c r="D162" s="1009"/>
      <c r="E162" s="1009"/>
      <c r="F162" s="1009"/>
      <c r="G162" s="1009"/>
      <c r="H162" s="1009"/>
      <c r="I162" s="1009"/>
      <c r="J162" s="1009"/>
      <c r="K162" s="1009"/>
      <c r="L162" s="1009"/>
      <c r="M162" s="1009"/>
      <c r="O162" s="263"/>
      <c r="P162" s="263"/>
      <c r="Q162" s="263"/>
      <c r="R162" s="15"/>
      <c r="AP162" s="76"/>
    </row>
    <row r="163" spans="2:45" ht="15" customHeight="1" x14ac:dyDescent="0.3">
      <c r="B163" s="1011"/>
      <c r="C163" s="1009"/>
      <c r="D163" s="1009"/>
      <c r="E163" s="1009"/>
      <c r="F163" s="1009"/>
      <c r="G163" s="1009"/>
      <c r="H163" s="1009"/>
      <c r="I163" s="1009"/>
      <c r="J163" s="1009"/>
      <c r="K163" s="1009"/>
      <c r="L163" s="1009"/>
      <c r="M163" s="1009"/>
      <c r="N163" s="18"/>
      <c r="O163" s="18"/>
      <c r="P163" s="15"/>
      <c r="Q163" s="15"/>
      <c r="R163" s="15"/>
      <c r="AO163" s="76"/>
      <c r="AP163" s="76"/>
    </row>
    <row r="164" spans="2:45" ht="15" customHeight="1" x14ac:dyDescent="0.3">
      <c r="B164" s="1011"/>
      <c r="C164" s="1009"/>
      <c r="D164" s="1009"/>
      <c r="E164" s="1009"/>
      <c r="F164" s="1009"/>
      <c r="G164" s="1009"/>
      <c r="H164" s="1009"/>
      <c r="I164" s="1009"/>
      <c r="J164" s="1009"/>
      <c r="K164" s="1009"/>
      <c r="L164" s="1009"/>
      <c r="M164" s="1009"/>
      <c r="N164" s="15"/>
      <c r="O164" s="15"/>
      <c r="P164" s="15"/>
      <c r="Q164" s="15"/>
      <c r="R164" s="15"/>
      <c r="AE164" s="2"/>
      <c r="AF164" s="2"/>
      <c r="AG164" s="2"/>
      <c r="AH164" s="2"/>
      <c r="AI164" s="2"/>
      <c r="AJ164" s="2"/>
      <c r="AK164" s="2"/>
      <c r="AL164" s="2"/>
      <c r="AM164" s="2"/>
      <c r="AN164" s="2"/>
      <c r="AO164" s="2"/>
      <c r="AP164" s="2"/>
      <c r="AQ164" s="2"/>
      <c r="AR164" s="2"/>
      <c r="AS164" s="2"/>
    </row>
    <row r="165" spans="2:45" ht="15" customHeight="1" x14ac:dyDescent="0.3">
      <c r="B165" s="1011"/>
      <c r="C165" s="1009"/>
      <c r="D165" s="1009"/>
      <c r="E165" s="1009"/>
      <c r="F165" s="1009"/>
      <c r="G165" s="1009"/>
      <c r="H165" s="1009"/>
      <c r="I165" s="1009"/>
      <c r="J165" s="1009"/>
      <c r="K165" s="1009"/>
      <c r="L165" s="1009"/>
      <c r="M165" s="1009"/>
      <c r="R165" s="15"/>
    </row>
    <row r="166" spans="2:45" ht="15" customHeight="1" x14ac:dyDescent="0.3">
      <c r="B166" s="1011"/>
      <c r="C166" s="1009"/>
      <c r="D166" s="1009"/>
      <c r="E166" s="1009"/>
      <c r="F166" s="1009"/>
      <c r="G166" s="1009"/>
      <c r="H166" s="1009"/>
      <c r="I166" s="1009"/>
      <c r="J166" s="1009"/>
      <c r="K166" s="1009"/>
      <c r="L166" s="1009"/>
      <c r="M166" s="1009"/>
    </row>
    <row r="167" spans="2:45" ht="15" customHeight="1" x14ac:dyDescent="0.3">
      <c r="B167" s="1011"/>
      <c r="C167" s="1009"/>
      <c r="D167" s="1009"/>
      <c r="E167" s="1009"/>
      <c r="F167" s="1009"/>
      <c r="G167" s="1009"/>
      <c r="H167" s="1009"/>
      <c r="I167" s="1009"/>
      <c r="J167" s="1009"/>
      <c r="K167" s="1009"/>
      <c r="L167" s="1009"/>
      <c r="M167" s="1009"/>
    </row>
    <row r="168" spans="2:45" ht="15" customHeight="1" x14ac:dyDescent="0.3">
      <c r="B168" s="1011"/>
      <c r="C168" s="1009"/>
      <c r="D168" s="1009"/>
      <c r="E168" s="1009"/>
      <c r="F168" s="1009"/>
      <c r="G168" s="1009"/>
      <c r="H168" s="1009"/>
      <c r="I168" s="1009"/>
      <c r="J168" s="1009"/>
      <c r="K168" s="1009"/>
      <c r="L168" s="1009"/>
      <c r="M168" s="1009"/>
    </row>
    <row r="169" spans="2:45" ht="15" customHeight="1" x14ac:dyDescent="0.3">
      <c r="B169" s="1011"/>
      <c r="C169" s="1009"/>
      <c r="D169" s="1009"/>
      <c r="E169" s="1009"/>
      <c r="F169" s="1009"/>
      <c r="G169" s="1009"/>
      <c r="H169" s="1009"/>
      <c r="I169" s="1009"/>
      <c r="J169" s="1009"/>
      <c r="K169" s="1009"/>
      <c r="L169" s="1009"/>
      <c r="M169" s="1009"/>
    </row>
    <row r="170" spans="2:45" ht="15" customHeight="1" x14ac:dyDescent="0.3">
      <c r="B170" s="1011"/>
      <c r="C170" s="1009"/>
      <c r="D170" s="1009"/>
      <c r="E170" s="1009"/>
      <c r="F170" s="1009"/>
      <c r="G170" s="1009"/>
      <c r="H170" s="1009"/>
      <c r="I170" s="1009"/>
      <c r="J170" s="1009"/>
      <c r="K170" s="1009"/>
      <c r="L170" s="1009"/>
      <c r="M170" s="1009"/>
    </row>
    <row r="171" spans="2:45" ht="15" customHeight="1" x14ac:dyDescent="0.3">
      <c r="B171" s="1011"/>
      <c r="C171" s="1009"/>
      <c r="D171" s="1009"/>
      <c r="E171" s="1009"/>
      <c r="F171" s="1009"/>
      <c r="G171" s="1009"/>
      <c r="H171" s="1009"/>
      <c r="I171" s="1009"/>
      <c r="J171" s="1009"/>
      <c r="K171" s="1009"/>
      <c r="L171" s="1009"/>
      <c r="M171" s="1009"/>
    </row>
    <row r="172" spans="2:45" ht="15" customHeight="1" x14ac:dyDescent="0.3">
      <c r="B172" s="1011"/>
      <c r="C172" s="1009"/>
      <c r="D172" s="1009"/>
      <c r="E172" s="1009"/>
      <c r="F172" s="1009"/>
      <c r="G172" s="1009"/>
      <c r="H172" s="1009"/>
      <c r="I172" s="1009"/>
      <c r="J172" s="1009"/>
      <c r="K172" s="1009"/>
      <c r="L172" s="1009"/>
      <c r="M172" s="1009"/>
    </row>
    <row r="173" spans="2:45" ht="15" customHeight="1" x14ac:dyDescent="0.3">
      <c r="B173" s="265"/>
      <c r="C173" s="266"/>
      <c r="D173" s="266"/>
      <c r="E173" s="266"/>
    </row>
    <row r="174" spans="2:45" ht="15" customHeight="1" x14ac:dyDescent="0.3">
      <c r="B174" s="265"/>
      <c r="C174" s="266"/>
      <c r="D174" s="266"/>
      <c r="E174" s="266"/>
    </row>
    <row r="175" spans="2:45" ht="15" customHeight="1" x14ac:dyDescent="0.3">
      <c r="B175" s="265"/>
      <c r="C175" s="266"/>
      <c r="D175" s="266"/>
      <c r="E175" s="266"/>
    </row>
    <row r="176" spans="2:45" ht="18" x14ac:dyDescent="0.3">
      <c r="B176" s="265"/>
      <c r="C176" s="266"/>
      <c r="D176" s="266"/>
      <c r="E176" s="266"/>
    </row>
    <row r="177" spans="2:5" ht="18" x14ac:dyDescent="0.3">
      <c r="B177" s="265"/>
      <c r="C177" s="266"/>
      <c r="D177" s="266"/>
      <c r="E177" s="266"/>
    </row>
  </sheetData>
  <mergeCells count="11">
    <mergeCell ref="B148:B155"/>
    <mergeCell ref="C148:I155"/>
    <mergeCell ref="B157:B172"/>
    <mergeCell ref="C157:M172"/>
    <mergeCell ref="D5:Q5"/>
    <mergeCell ref="B55:B84"/>
    <mergeCell ref="C55:E84"/>
    <mergeCell ref="B86:B115"/>
    <mergeCell ref="C86:E115"/>
    <mergeCell ref="B117:B146"/>
    <mergeCell ref="C117:E14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AD319"/>
  <sheetViews>
    <sheetView showGridLines="0" zoomScale="50" zoomScaleNormal="50" workbookViewId="0">
      <selection activeCell="I260" sqref="I260"/>
    </sheetView>
  </sheetViews>
  <sheetFormatPr defaultColWidth="8.88671875" defaultRowHeight="14.4" x14ac:dyDescent="0.3"/>
  <cols>
    <col min="1" max="1" width="2.88671875" customWidth="1"/>
    <col min="2" max="2" width="48" customWidth="1"/>
    <col min="3" max="3" width="12.5546875" style="2" customWidth="1"/>
    <col min="4" max="4" width="57.44140625" style="2" bestFit="1" customWidth="1"/>
    <col min="5" max="5" width="36.109375" style="2" bestFit="1" customWidth="1"/>
    <col min="6" max="6" width="34.88671875" style="2" customWidth="1"/>
    <col min="7" max="7" width="45" style="2" customWidth="1"/>
    <col min="8" max="8" width="25.5546875" style="2" customWidth="1"/>
    <col min="9" max="9" width="17.44140625" style="2" customWidth="1"/>
    <col min="10" max="10" width="23.44140625" customWidth="1"/>
  </cols>
  <sheetData>
    <row r="1" spans="2:24" x14ac:dyDescent="0.3">
      <c r="B1" s="690"/>
    </row>
    <row r="2" spans="2:24" ht="24" thickBot="1" x14ac:dyDescent="0.5">
      <c r="B2" s="3" t="s">
        <v>231</v>
      </c>
      <c r="C2" s="3"/>
      <c r="D2" s="4"/>
      <c r="E2" s="4"/>
      <c r="F2" s="4"/>
      <c r="J2" s="2"/>
      <c r="K2" s="458"/>
      <c r="L2" s="458"/>
      <c r="M2" s="458"/>
      <c r="N2" s="458"/>
      <c r="O2" s="458"/>
      <c r="P2" s="458"/>
      <c r="Q2" s="458"/>
      <c r="R2" s="458"/>
      <c r="S2" s="458"/>
      <c r="T2" s="458"/>
      <c r="U2" s="458"/>
      <c r="V2" s="458"/>
    </row>
    <row r="3" spans="2:24" x14ac:dyDescent="0.3">
      <c r="K3" s="458"/>
      <c r="L3" s="458"/>
      <c r="M3" s="458"/>
      <c r="N3" s="458"/>
      <c r="O3" s="458"/>
      <c r="P3" s="458"/>
      <c r="Q3" s="458"/>
      <c r="R3" s="458"/>
      <c r="S3" s="458"/>
      <c r="T3" s="458"/>
      <c r="U3" s="458"/>
      <c r="V3" s="458"/>
    </row>
    <row r="4" spans="2:24" x14ac:dyDescent="0.3">
      <c r="B4" s="443" t="s">
        <v>232</v>
      </c>
      <c r="C4" s="443"/>
      <c r="D4" s="443"/>
      <c r="E4" s="443"/>
      <c r="F4" s="443"/>
      <c r="G4" s="443"/>
      <c r="H4" s="443"/>
      <c r="I4" s="443"/>
      <c r="K4" s="458"/>
      <c r="L4" s="458"/>
      <c r="M4" s="458"/>
      <c r="N4" s="458"/>
      <c r="O4" s="458"/>
      <c r="P4" s="458"/>
      <c r="Q4" s="458"/>
      <c r="R4" s="458"/>
      <c r="S4" s="458"/>
      <c r="T4" s="458"/>
      <c r="U4" s="458"/>
      <c r="V4" s="458"/>
    </row>
    <row r="5" spans="2:24" x14ac:dyDescent="0.3">
      <c r="B5" s="691" t="s">
        <v>233</v>
      </c>
      <c r="C5" s="443"/>
      <c r="D5" s="443"/>
      <c r="E5" s="443"/>
      <c r="F5" s="443"/>
      <c r="G5" s="443"/>
      <c r="H5" s="443"/>
      <c r="I5" s="443"/>
      <c r="K5" s="458"/>
      <c r="L5" s="458"/>
      <c r="M5" s="458"/>
      <c r="N5" s="458"/>
      <c r="O5" s="458"/>
      <c r="P5" s="458"/>
      <c r="Q5" s="458"/>
      <c r="R5" s="458"/>
      <c r="S5" s="458"/>
      <c r="T5" s="458"/>
      <c r="U5" s="458"/>
      <c r="V5" s="458"/>
    </row>
    <row r="6" spans="2:24" x14ac:dyDescent="0.3">
      <c r="B6" s="443" t="s">
        <v>234</v>
      </c>
      <c r="C6" s="443"/>
      <c r="D6" s="443"/>
      <c r="E6" s="443"/>
      <c r="F6" s="443"/>
      <c r="G6" s="443"/>
      <c r="H6" s="443"/>
      <c r="I6" s="443"/>
      <c r="K6" s="458"/>
      <c r="L6" s="458"/>
      <c r="M6" s="458"/>
      <c r="N6" s="458"/>
      <c r="O6" s="458"/>
      <c r="P6" s="458"/>
      <c r="Q6" s="458"/>
      <c r="R6" s="458"/>
      <c r="S6" s="458"/>
      <c r="T6" s="458"/>
      <c r="U6" s="458"/>
      <c r="V6" s="458"/>
    </row>
    <row r="7" spans="2:24" x14ac:dyDescent="0.3">
      <c r="B7" s="444"/>
      <c r="C7" s="443" t="s">
        <v>235</v>
      </c>
      <c r="D7" s="443"/>
      <c r="E7" s="443"/>
      <c r="F7" s="443"/>
      <c r="G7" s="443"/>
      <c r="H7" s="443"/>
      <c r="I7" s="443"/>
      <c r="K7" s="458"/>
      <c r="L7" s="458"/>
      <c r="M7" s="458"/>
      <c r="N7" s="458"/>
      <c r="O7" s="458"/>
      <c r="P7" s="458"/>
      <c r="Q7" s="458"/>
      <c r="R7" s="458"/>
      <c r="S7" s="458"/>
      <c r="T7" s="458"/>
      <c r="U7" s="458"/>
      <c r="V7" s="458"/>
    </row>
    <row r="8" spans="2:24" x14ac:dyDescent="0.3">
      <c r="B8" s="444"/>
      <c r="C8" s="445" t="s">
        <v>236</v>
      </c>
      <c r="D8" s="443"/>
      <c r="E8" s="443"/>
      <c r="F8" s="443"/>
      <c r="G8" s="443"/>
      <c r="H8" s="443"/>
      <c r="I8" s="443"/>
      <c r="K8" s="458"/>
      <c r="L8" s="458"/>
      <c r="M8" s="458"/>
      <c r="N8" s="458"/>
      <c r="O8" s="458"/>
      <c r="P8" s="458"/>
      <c r="Q8" s="458"/>
      <c r="R8" s="458"/>
      <c r="S8" s="458"/>
      <c r="T8" s="458"/>
      <c r="U8" s="458"/>
      <c r="V8" s="458"/>
    </row>
    <row r="9" spans="2:24" x14ac:dyDescent="0.3">
      <c r="B9" s="444"/>
      <c r="C9" s="443" t="s">
        <v>237</v>
      </c>
      <c r="D9" s="443"/>
      <c r="E9" s="443"/>
      <c r="F9" s="443"/>
      <c r="G9" s="443"/>
      <c r="H9" s="443"/>
      <c r="I9" s="443"/>
      <c r="K9" s="458"/>
      <c r="L9" s="458"/>
      <c r="M9" s="458"/>
      <c r="N9" s="458"/>
      <c r="O9" s="458"/>
      <c r="P9" s="458"/>
      <c r="Q9" s="458"/>
      <c r="R9" s="458"/>
      <c r="S9" s="458"/>
      <c r="T9" s="458"/>
      <c r="U9" s="458"/>
      <c r="V9" s="458"/>
    </row>
    <row r="10" spans="2:24" x14ac:dyDescent="0.3">
      <c r="B10" s="444"/>
      <c r="C10" s="444" t="s">
        <v>238</v>
      </c>
      <c r="D10" s="444"/>
      <c r="E10" s="443"/>
      <c r="F10" s="443"/>
      <c r="G10" s="443"/>
      <c r="H10" s="443"/>
      <c r="I10" s="443"/>
      <c r="K10" s="458"/>
      <c r="L10" s="458"/>
      <c r="M10" s="458"/>
      <c r="N10" s="458"/>
      <c r="O10" s="458"/>
      <c r="P10" s="458"/>
      <c r="Q10" s="458"/>
      <c r="R10" s="458"/>
      <c r="S10" s="458"/>
      <c r="T10" s="458"/>
      <c r="U10" s="458"/>
      <c r="V10" s="458"/>
    </row>
    <row r="11" spans="2:24" ht="15" customHeight="1" x14ac:dyDescent="0.3">
      <c r="B11" s="444"/>
      <c r="C11" s="443" t="s">
        <v>239</v>
      </c>
      <c r="D11" s="443"/>
      <c r="E11" s="443"/>
      <c r="F11" s="443"/>
      <c r="G11" s="443"/>
      <c r="H11" s="443"/>
      <c r="I11" s="443"/>
      <c r="K11" s="458"/>
      <c r="L11" s="458"/>
      <c r="M11" s="458"/>
      <c r="N11" s="458"/>
      <c r="O11" s="458"/>
      <c r="P11" s="458"/>
      <c r="Q11" s="458"/>
      <c r="R11" s="458"/>
      <c r="S11" s="458"/>
      <c r="T11" s="458"/>
      <c r="U11" s="458"/>
      <c r="V11" s="458"/>
    </row>
    <row r="12" spans="2:24" ht="15" customHeight="1" x14ac:dyDescent="0.3">
      <c r="B12" s="443" t="s">
        <v>240</v>
      </c>
      <c r="C12" s="443"/>
      <c r="D12" s="443"/>
      <c r="E12" s="443"/>
      <c r="F12" s="443"/>
      <c r="G12" s="443"/>
      <c r="H12" s="443"/>
      <c r="I12" s="443"/>
      <c r="K12" s="458"/>
      <c r="L12" s="458"/>
      <c r="M12" s="458"/>
      <c r="N12" s="458"/>
      <c r="O12" s="458"/>
      <c r="P12" s="458"/>
      <c r="Q12" s="458"/>
      <c r="R12" s="458"/>
      <c r="S12" s="458"/>
      <c r="T12" s="458"/>
      <c r="U12" s="458"/>
      <c r="V12" s="458"/>
    </row>
    <row r="13" spans="2:24" ht="15" customHeight="1" x14ac:dyDescent="0.3">
      <c r="B13" s="446"/>
      <c r="C13" s="443" t="s">
        <v>241</v>
      </c>
      <c r="D13" s="443"/>
      <c r="E13" s="443"/>
      <c r="F13" s="443"/>
      <c r="G13" s="443"/>
      <c r="H13" s="443"/>
      <c r="I13" s="443"/>
      <c r="K13" s="458"/>
      <c r="L13" s="458"/>
      <c r="M13" s="458"/>
      <c r="N13" s="458"/>
      <c r="O13" s="458"/>
      <c r="P13" s="458"/>
      <c r="Q13" s="458"/>
      <c r="R13" s="458"/>
      <c r="S13" s="458"/>
      <c r="T13" s="458"/>
      <c r="U13" s="458"/>
      <c r="V13" s="458"/>
    </row>
    <row r="14" spans="2:24" ht="15" customHeight="1" x14ac:dyDescent="0.3">
      <c r="B14" s="444"/>
      <c r="C14" s="443" t="s">
        <v>242</v>
      </c>
      <c r="D14" s="444"/>
      <c r="E14" s="444"/>
      <c r="F14" s="444"/>
      <c r="G14" s="444"/>
      <c r="H14" s="444"/>
      <c r="I14" s="444"/>
      <c r="K14" s="458"/>
      <c r="L14" s="458"/>
      <c r="M14" s="458"/>
      <c r="N14" s="458"/>
      <c r="O14" s="458"/>
      <c r="P14" s="458"/>
      <c r="Q14" s="458"/>
      <c r="R14" s="458"/>
      <c r="S14" s="458"/>
      <c r="T14" s="458"/>
      <c r="U14" s="458"/>
      <c r="V14" s="458"/>
    </row>
    <row r="15" spans="2:24" ht="15" customHeight="1" x14ac:dyDescent="0.3">
      <c r="B15" s="62"/>
      <c r="K15" s="458"/>
      <c r="L15" s="458"/>
      <c r="M15" s="458"/>
      <c r="N15" s="458"/>
      <c r="O15" s="458"/>
      <c r="P15" s="458"/>
      <c r="Q15" s="458"/>
      <c r="R15" s="458"/>
      <c r="S15" s="458"/>
      <c r="T15" s="458"/>
      <c r="U15" s="458"/>
      <c r="V15" s="458"/>
      <c r="X15" s="24"/>
    </row>
    <row r="16" spans="2:24" ht="29.1" customHeight="1" x14ac:dyDescent="0.3">
      <c r="F16" s="447"/>
      <c r="G16" s="1024" t="s">
        <v>243</v>
      </c>
      <c r="H16" s="1025"/>
      <c r="I16" s="448"/>
      <c r="J16" s="2"/>
      <c r="L16" s="1026"/>
      <c r="M16" s="1026"/>
      <c r="N16" s="1026"/>
      <c r="O16" s="1026"/>
      <c r="P16" s="1026"/>
    </row>
    <row r="17" spans="2:30" ht="44.1" customHeight="1" x14ac:dyDescent="0.3">
      <c r="B17" s="692" t="s">
        <v>244</v>
      </c>
      <c r="C17" s="52" t="s">
        <v>245</v>
      </c>
      <c r="D17" s="60" t="s">
        <v>246</v>
      </c>
      <c r="E17" s="60" t="s">
        <v>247</v>
      </c>
      <c r="F17" s="449" t="s">
        <v>248</v>
      </c>
      <c r="G17" s="450" t="s">
        <v>249</v>
      </c>
      <c r="H17" s="451" t="s">
        <v>250</v>
      </c>
      <c r="I17" s="452" t="s">
        <v>251</v>
      </c>
      <c r="J17" s="60" t="s">
        <v>252</v>
      </c>
      <c r="K17" s="60" t="s">
        <v>253</v>
      </c>
      <c r="L17" s="60"/>
      <c r="M17" s="60"/>
      <c r="N17" s="60"/>
      <c r="O17" s="60"/>
      <c r="P17" s="60"/>
      <c r="Q17" s="150"/>
      <c r="R17" s="150"/>
      <c r="S17" s="150"/>
    </row>
    <row r="18" spans="2:30" x14ac:dyDescent="0.3">
      <c r="B18" t="s">
        <v>254</v>
      </c>
      <c r="C18" s="2">
        <v>2010</v>
      </c>
      <c r="D18" s="693">
        <v>89.3</v>
      </c>
      <c r="E18" s="150"/>
      <c r="F18" s="453"/>
      <c r="G18" s="694"/>
      <c r="H18" s="705"/>
      <c r="I18" s="695"/>
      <c r="J18" s="150"/>
      <c r="K18" s="150"/>
      <c r="L18" s="150"/>
      <c r="M18" s="150"/>
      <c r="N18" s="150"/>
      <c r="O18" s="150"/>
      <c r="P18" s="150"/>
      <c r="Q18" s="150"/>
      <c r="R18" s="150"/>
      <c r="S18" s="150"/>
    </row>
    <row r="19" spans="2:30" x14ac:dyDescent="0.3">
      <c r="B19" t="s">
        <v>254</v>
      </c>
      <c r="C19" s="15">
        <v>2011</v>
      </c>
      <c r="D19" s="693">
        <v>88.2</v>
      </c>
      <c r="E19" s="150"/>
      <c r="F19" s="453"/>
      <c r="G19" s="694"/>
      <c r="H19" s="705"/>
      <c r="I19" s="695"/>
      <c r="J19" s="150"/>
      <c r="K19" s="150"/>
      <c r="L19" s="150"/>
      <c r="M19" s="150"/>
      <c r="N19" s="150"/>
      <c r="O19" s="150"/>
      <c r="P19" s="150"/>
      <c r="Q19" s="150"/>
      <c r="R19" s="150"/>
      <c r="S19" s="150"/>
    </row>
    <row r="20" spans="2:30" x14ac:dyDescent="0.3">
      <c r="B20" t="s">
        <v>254</v>
      </c>
      <c r="C20" s="2">
        <v>2012</v>
      </c>
      <c r="D20" s="693">
        <v>84.7</v>
      </c>
      <c r="E20" s="150"/>
      <c r="F20" s="453"/>
      <c r="G20" s="694"/>
      <c r="H20" s="705"/>
      <c r="I20" s="695"/>
      <c r="J20" s="150"/>
      <c r="K20" s="150"/>
      <c r="L20" s="150"/>
      <c r="M20" s="150"/>
      <c r="N20" s="150"/>
      <c r="O20" s="150"/>
      <c r="P20" s="150"/>
      <c r="Q20" s="150"/>
      <c r="R20" s="150"/>
      <c r="S20" s="150"/>
    </row>
    <row r="21" spans="2:30" x14ac:dyDescent="0.3">
      <c r="B21" t="s">
        <v>254</v>
      </c>
      <c r="C21" s="15">
        <v>2013</v>
      </c>
      <c r="D21" s="693">
        <v>85.8</v>
      </c>
      <c r="E21" s="150"/>
      <c r="F21" s="453"/>
      <c r="G21" s="694"/>
      <c r="H21" s="705"/>
      <c r="I21" s="695"/>
      <c r="J21" s="150"/>
      <c r="K21" s="150"/>
      <c r="L21" s="150"/>
      <c r="M21" s="150"/>
      <c r="N21" s="150"/>
      <c r="O21" s="150"/>
      <c r="P21" s="150"/>
      <c r="Q21" s="150"/>
      <c r="R21" s="150"/>
      <c r="S21" s="150"/>
    </row>
    <row r="22" spans="2:30" x14ac:dyDescent="0.3">
      <c r="B22" t="s">
        <v>254</v>
      </c>
      <c r="C22" s="2">
        <v>2014</v>
      </c>
      <c r="D22" s="693">
        <v>89.4</v>
      </c>
      <c r="E22" s="150"/>
      <c r="F22" s="453"/>
      <c r="G22" s="694"/>
      <c r="H22" s="705"/>
      <c r="I22" s="695"/>
      <c r="J22" s="150"/>
      <c r="K22" s="150"/>
      <c r="L22" s="150"/>
      <c r="M22" s="150"/>
      <c r="N22" s="150"/>
      <c r="O22" s="150"/>
      <c r="P22" s="150"/>
      <c r="Q22" s="150"/>
      <c r="R22" s="150"/>
      <c r="S22" s="150"/>
    </row>
    <row r="23" spans="2:30" x14ac:dyDescent="0.3">
      <c r="B23" t="s">
        <v>254</v>
      </c>
      <c r="C23" s="15">
        <v>2015</v>
      </c>
      <c r="D23" s="696">
        <v>88.3</v>
      </c>
      <c r="E23" s="150"/>
      <c r="F23" s="453"/>
      <c r="G23" s="454"/>
      <c r="H23" s="455"/>
      <c r="I23" s="448"/>
      <c r="J23" s="150"/>
      <c r="K23" s="150"/>
      <c r="L23" s="150"/>
      <c r="M23" s="150"/>
      <c r="N23" s="150"/>
      <c r="O23" s="150"/>
      <c r="P23" s="150"/>
    </row>
    <row r="24" spans="2:30" x14ac:dyDescent="0.3">
      <c r="B24" t="s">
        <v>254</v>
      </c>
      <c r="C24" s="2">
        <v>2016</v>
      </c>
      <c r="D24" s="696">
        <v>86.4</v>
      </c>
      <c r="E24" s="150"/>
      <c r="F24" s="453"/>
      <c r="G24" s="454"/>
      <c r="H24" s="455"/>
      <c r="I24" s="448"/>
      <c r="J24" s="150"/>
      <c r="K24" s="150"/>
      <c r="L24" s="150"/>
      <c r="M24" s="150"/>
      <c r="N24" s="150"/>
      <c r="O24" s="150"/>
      <c r="P24" s="150"/>
    </row>
    <row r="25" spans="2:30" x14ac:dyDescent="0.3">
      <c r="B25" t="s">
        <v>254</v>
      </c>
      <c r="C25" s="2">
        <v>2017</v>
      </c>
      <c r="D25" s="696">
        <v>87.4</v>
      </c>
      <c r="E25" s="150"/>
      <c r="F25" s="453"/>
      <c r="G25" s="454"/>
      <c r="H25" s="455"/>
      <c r="I25" s="448"/>
      <c r="J25" s="150"/>
      <c r="K25" s="150"/>
      <c r="L25" s="150"/>
      <c r="M25" s="150"/>
      <c r="N25" s="150"/>
      <c r="O25" s="150"/>
      <c r="P25" s="150"/>
    </row>
    <row r="26" spans="2:30" x14ac:dyDescent="0.3">
      <c r="B26" t="s">
        <v>254</v>
      </c>
      <c r="C26" s="2">
        <v>2018</v>
      </c>
      <c r="D26" s="696">
        <v>88</v>
      </c>
      <c r="E26" s="150"/>
      <c r="F26" s="453"/>
      <c r="G26" s="454"/>
      <c r="H26" s="455"/>
      <c r="I26" s="448"/>
      <c r="J26" s="150"/>
      <c r="K26" s="150"/>
      <c r="L26" s="150"/>
      <c r="M26" s="150"/>
      <c r="N26" s="150"/>
      <c r="O26" s="150"/>
      <c r="P26" s="150"/>
    </row>
    <row r="27" spans="2:30" x14ac:dyDescent="0.3">
      <c r="B27" t="s">
        <v>254</v>
      </c>
      <c r="C27" s="2">
        <v>2019</v>
      </c>
      <c r="D27" s="696">
        <v>85.7</v>
      </c>
      <c r="E27" s="150"/>
      <c r="F27" s="453"/>
      <c r="G27" s="454"/>
      <c r="H27" s="455"/>
      <c r="I27" s="448"/>
      <c r="J27" s="150"/>
      <c r="K27" s="150"/>
      <c r="L27" s="150"/>
      <c r="M27" s="150"/>
      <c r="N27" s="150"/>
      <c r="O27" s="150"/>
      <c r="P27" s="150"/>
    </row>
    <row r="28" spans="2:30" x14ac:dyDescent="0.3">
      <c r="B28" t="s">
        <v>254</v>
      </c>
      <c r="C28" s="2">
        <v>2020</v>
      </c>
      <c r="D28" s="696">
        <v>82.1</v>
      </c>
      <c r="E28" s="150"/>
      <c r="F28" s="453"/>
      <c r="G28" s="454"/>
      <c r="H28" s="455"/>
      <c r="I28" s="448"/>
      <c r="J28" s="150"/>
      <c r="K28" s="150"/>
      <c r="L28" s="150"/>
      <c r="M28" s="150"/>
      <c r="N28" s="150"/>
      <c r="O28" s="150"/>
      <c r="P28" s="150"/>
    </row>
    <row r="29" spans="2:30" ht="15" customHeight="1" x14ac:dyDescent="0.3">
      <c r="B29" t="s">
        <v>254</v>
      </c>
      <c r="C29" s="2">
        <v>2021</v>
      </c>
      <c r="D29" s="114">
        <v>84.7</v>
      </c>
      <c r="E29" s="114">
        <v>84.7</v>
      </c>
      <c r="F29" s="697">
        <v>84.7</v>
      </c>
      <c r="G29" s="698"/>
      <c r="H29" s="699"/>
      <c r="I29" s="697">
        <v>84.7</v>
      </c>
      <c r="J29" s="456">
        <v>0</v>
      </c>
      <c r="K29" s="2"/>
    </row>
    <row r="30" spans="2:30" ht="15" customHeight="1" x14ac:dyDescent="0.3">
      <c r="C30" s="2">
        <v>2022</v>
      </c>
      <c r="E30" s="114">
        <v>83.6</v>
      </c>
      <c r="F30" s="706">
        <v>83.6</v>
      </c>
      <c r="G30" s="700">
        <v>83.6</v>
      </c>
      <c r="H30" s="701">
        <v>83.6</v>
      </c>
      <c r="I30" s="697">
        <v>83.6</v>
      </c>
      <c r="J30" s="457">
        <f>G30-E30</f>
        <v>0</v>
      </c>
      <c r="K30" s="457">
        <f>H30-G30</f>
        <v>0</v>
      </c>
      <c r="AB30" s="77"/>
      <c r="AC30" s="77"/>
      <c r="AD30" s="77"/>
    </row>
    <row r="31" spans="2:30" ht="15" customHeight="1" x14ac:dyDescent="0.3">
      <c r="C31" s="2">
        <v>2023</v>
      </c>
      <c r="E31" s="114">
        <v>83.7</v>
      </c>
      <c r="F31" s="697">
        <v>84</v>
      </c>
      <c r="G31" s="700">
        <v>84</v>
      </c>
      <c r="H31" s="701">
        <v>85.3</v>
      </c>
      <c r="I31" s="697">
        <v>84.657747531810699</v>
      </c>
      <c r="J31" s="457">
        <f t="shared" ref="J31:J43" si="0">G31-E31</f>
        <v>0.29999999999999716</v>
      </c>
      <c r="K31" s="457">
        <f t="shared" ref="K31:K43" si="1">H31-G31</f>
        <v>1.2999999999999972</v>
      </c>
      <c r="AB31" s="77"/>
      <c r="AC31" s="77"/>
      <c r="AD31" s="77"/>
    </row>
    <row r="32" spans="2:30" ht="15" customHeight="1" x14ac:dyDescent="0.3">
      <c r="C32" s="2">
        <v>2024</v>
      </c>
      <c r="E32" s="114">
        <v>84.5</v>
      </c>
      <c r="F32" s="697">
        <v>85.8</v>
      </c>
      <c r="G32" s="700">
        <v>85.8</v>
      </c>
      <c r="H32" s="701">
        <v>88.2</v>
      </c>
      <c r="I32" s="697">
        <v>86.978727054678927</v>
      </c>
      <c r="J32" s="457">
        <f t="shared" si="0"/>
        <v>1.2999999999999972</v>
      </c>
      <c r="K32" s="457">
        <f t="shared" si="1"/>
        <v>2.4000000000000057</v>
      </c>
      <c r="AB32" s="77"/>
      <c r="AC32" s="77"/>
      <c r="AD32" s="77"/>
    </row>
    <row r="33" spans="2:30" ht="15" customHeight="1" x14ac:dyDescent="0.3">
      <c r="C33" s="2">
        <v>2025</v>
      </c>
      <c r="E33" s="114">
        <v>85</v>
      </c>
      <c r="F33" s="697">
        <v>87.5</v>
      </c>
      <c r="G33" s="700">
        <v>87.6</v>
      </c>
      <c r="H33" s="701">
        <v>91.9</v>
      </c>
      <c r="I33" s="697">
        <v>89.747201275229202</v>
      </c>
      <c r="J33" s="457">
        <f t="shared" si="0"/>
        <v>2.5999999999999943</v>
      </c>
      <c r="K33" s="457">
        <f t="shared" si="1"/>
        <v>4.3000000000000114</v>
      </c>
      <c r="AB33" s="77"/>
      <c r="AC33" s="77"/>
      <c r="AD33" s="77"/>
    </row>
    <row r="34" spans="2:30" ht="15" customHeight="1" x14ac:dyDescent="0.3">
      <c r="C34" s="2">
        <v>2026</v>
      </c>
      <c r="E34" s="114">
        <v>85.5</v>
      </c>
      <c r="F34" s="697">
        <v>88.9</v>
      </c>
      <c r="G34" s="700">
        <v>89.2</v>
      </c>
      <c r="H34" s="701">
        <v>96.2</v>
      </c>
      <c r="I34" s="697">
        <v>92.710734065111694</v>
      </c>
      <c r="J34" s="457">
        <f t="shared" si="0"/>
        <v>3.7000000000000028</v>
      </c>
      <c r="K34" s="457">
        <f t="shared" si="1"/>
        <v>7</v>
      </c>
      <c r="AB34" s="77"/>
      <c r="AC34" s="77"/>
      <c r="AD34" s="24"/>
    </row>
    <row r="35" spans="2:30" ht="15" customHeight="1" x14ac:dyDescent="0.3">
      <c r="C35" s="2">
        <v>2027</v>
      </c>
      <c r="E35" s="114">
        <v>86.1</v>
      </c>
      <c r="F35" s="697">
        <v>90.7</v>
      </c>
      <c r="G35" s="700">
        <v>91.7</v>
      </c>
      <c r="H35" s="701">
        <v>101.7</v>
      </c>
      <c r="I35" s="697">
        <v>96.700997543262361</v>
      </c>
      <c r="J35" s="457">
        <f t="shared" si="0"/>
        <v>5.6000000000000085</v>
      </c>
      <c r="K35" s="457">
        <f t="shared" si="1"/>
        <v>10</v>
      </c>
      <c r="AB35" s="77"/>
      <c r="AC35" s="77"/>
      <c r="AD35" s="164"/>
    </row>
    <row r="36" spans="2:30" ht="15" customHeight="1" x14ac:dyDescent="0.3">
      <c r="C36" s="2">
        <v>2028</v>
      </c>
      <c r="E36" s="114">
        <v>86.7</v>
      </c>
      <c r="F36" s="697">
        <v>92.6</v>
      </c>
      <c r="G36" s="700">
        <v>96</v>
      </c>
      <c r="H36" s="701">
        <v>107.3</v>
      </c>
      <c r="I36" s="697">
        <v>101.65845388532441</v>
      </c>
      <c r="J36" s="457">
        <f t="shared" si="0"/>
        <v>9.2999999999999972</v>
      </c>
      <c r="K36" s="457">
        <f t="shared" si="1"/>
        <v>11.299999999999997</v>
      </c>
      <c r="AB36" s="77"/>
      <c r="AC36" s="77"/>
      <c r="AD36" s="164"/>
    </row>
    <row r="37" spans="2:30" ht="15" customHeight="1" x14ac:dyDescent="0.3">
      <c r="C37" s="2">
        <v>2029</v>
      </c>
      <c r="E37" s="114">
        <v>87.4</v>
      </c>
      <c r="F37" s="697">
        <v>94.6</v>
      </c>
      <c r="G37" s="700">
        <v>102</v>
      </c>
      <c r="H37" s="701">
        <v>113.1</v>
      </c>
      <c r="I37" s="697">
        <v>107.54655088130298</v>
      </c>
      <c r="J37" s="457">
        <f t="shared" si="0"/>
        <v>14.599999999999994</v>
      </c>
      <c r="K37" s="457">
        <f t="shared" si="1"/>
        <v>11.099999999999994</v>
      </c>
      <c r="AB37" s="77"/>
      <c r="AC37" s="77"/>
      <c r="AD37" s="164"/>
    </row>
    <row r="38" spans="2:30" ht="15" customHeight="1" x14ac:dyDescent="0.3">
      <c r="C38" s="2">
        <v>2030</v>
      </c>
      <c r="E38" s="114">
        <v>88.1</v>
      </c>
      <c r="F38" s="697">
        <v>96.4</v>
      </c>
      <c r="G38" s="700">
        <v>107.4</v>
      </c>
      <c r="H38" s="701">
        <v>118.5</v>
      </c>
      <c r="I38" s="697">
        <v>112.99295072627066</v>
      </c>
      <c r="J38" s="457">
        <f t="shared" si="0"/>
        <v>19.300000000000011</v>
      </c>
      <c r="K38" s="457">
        <f t="shared" si="1"/>
        <v>11.099999999999994</v>
      </c>
      <c r="L38" s="165"/>
      <c r="M38" s="165"/>
      <c r="N38" s="165"/>
      <c r="O38" s="77"/>
      <c r="P38" s="77"/>
      <c r="AB38" s="77"/>
      <c r="AC38" s="77"/>
      <c r="AD38" s="164"/>
    </row>
    <row r="39" spans="2:30" ht="15" customHeight="1" x14ac:dyDescent="0.3">
      <c r="C39" s="2">
        <v>2031</v>
      </c>
      <c r="E39" s="114">
        <v>88.6</v>
      </c>
      <c r="F39" s="697">
        <v>98.1</v>
      </c>
      <c r="G39" s="700">
        <v>111.1</v>
      </c>
      <c r="H39" s="701">
        <v>122.8</v>
      </c>
      <c r="I39" s="697">
        <v>116.95175821051346</v>
      </c>
      <c r="J39" s="457">
        <f t="shared" si="0"/>
        <v>22.5</v>
      </c>
      <c r="K39" s="457">
        <f t="shared" si="1"/>
        <v>11.700000000000003</v>
      </c>
      <c r="L39" s="76"/>
      <c r="M39" s="76"/>
      <c r="N39" s="76"/>
      <c r="AB39" s="77"/>
      <c r="AC39" s="77"/>
      <c r="AD39" s="77"/>
    </row>
    <row r="40" spans="2:30" ht="15" customHeight="1" x14ac:dyDescent="0.3">
      <c r="C40" s="2">
        <v>2032</v>
      </c>
      <c r="E40" s="114">
        <v>89</v>
      </c>
      <c r="F40" s="697">
        <v>99.7</v>
      </c>
      <c r="G40" s="700">
        <v>114.4</v>
      </c>
      <c r="H40" s="701">
        <v>127.1</v>
      </c>
      <c r="I40" s="697">
        <v>120.76538128967715</v>
      </c>
      <c r="J40" s="457">
        <f t="shared" si="0"/>
        <v>25.400000000000006</v>
      </c>
      <c r="K40" s="457">
        <f t="shared" si="1"/>
        <v>12.699999999999989</v>
      </c>
      <c r="L40" s="76"/>
      <c r="M40" s="76"/>
      <c r="N40" s="76"/>
      <c r="AB40" s="77"/>
      <c r="AC40" s="77"/>
      <c r="AD40" s="77"/>
    </row>
    <row r="41" spans="2:30" ht="15" customHeight="1" x14ac:dyDescent="0.3">
      <c r="C41" s="2">
        <v>2033</v>
      </c>
      <c r="E41" s="114">
        <v>89.5</v>
      </c>
      <c r="F41" s="697">
        <v>101.4</v>
      </c>
      <c r="G41" s="700">
        <v>117.3</v>
      </c>
      <c r="H41" s="701">
        <v>131.4</v>
      </c>
      <c r="I41" s="697">
        <v>124.3914219011842</v>
      </c>
      <c r="J41" s="457">
        <f t="shared" si="0"/>
        <v>27.799999999999997</v>
      </c>
      <c r="K41" s="457">
        <f t="shared" si="1"/>
        <v>14.100000000000009</v>
      </c>
      <c r="L41" s="76"/>
      <c r="M41" s="76"/>
      <c r="N41" s="76"/>
      <c r="AB41" s="77"/>
      <c r="AC41" s="77"/>
      <c r="AD41" s="77"/>
    </row>
    <row r="42" spans="2:30" ht="15" customHeight="1" x14ac:dyDescent="0.3">
      <c r="C42" s="2">
        <v>2034</v>
      </c>
      <c r="E42" s="114">
        <v>89.8</v>
      </c>
      <c r="F42" s="697">
        <v>103</v>
      </c>
      <c r="G42" s="700">
        <v>120</v>
      </c>
      <c r="H42" s="701">
        <v>135.69999999999999</v>
      </c>
      <c r="I42" s="697">
        <v>127.83543429997393</v>
      </c>
      <c r="J42" s="457">
        <f t="shared" si="0"/>
        <v>30.200000000000003</v>
      </c>
      <c r="K42" s="457">
        <f t="shared" si="1"/>
        <v>15.699999999999989</v>
      </c>
      <c r="L42" s="76"/>
      <c r="M42" s="76"/>
      <c r="N42" s="76"/>
      <c r="AB42" s="77"/>
      <c r="AC42" s="77"/>
      <c r="AD42" s="77"/>
    </row>
    <row r="43" spans="2:30" ht="15" customHeight="1" x14ac:dyDescent="0.3">
      <c r="C43" s="2">
        <v>2035</v>
      </c>
      <c r="E43" s="114">
        <v>90.1</v>
      </c>
      <c r="F43" s="697">
        <v>104.5</v>
      </c>
      <c r="G43" s="700">
        <v>123</v>
      </c>
      <c r="H43" s="701">
        <v>139.80000000000001</v>
      </c>
      <c r="I43" s="697">
        <v>131.39591278693277</v>
      </c>
      <c r="J43" s="457">
        <f t="shared" si="0"/>
        <v>32.900000000000006</v>
      </c>
      <c r="K43" s="457">
        <f t="shared" si="1"/>
        <v>16.800000000000011</v>
      </c>
      <c r="L43" s="165"/>
      <c r="M43" s="165"/>
      <c r="N43" s="165"/>
      <c r="AB43" s="77"/>
    </row>
    <row r="44" spans="2:30" ht="15" customHeight="1" x14ac:dyDescent="0.3">
      <c r="B44" s="702"/>
      <c r="F44" s="703"/>
      <c r="G44" s="165"/>
      <c r="H44" s="458"/>
      <c r="I44" s="458"/>
    </row>
    <row r="45" spans="2:30" ht="15" customHeight="1" x14ac:dyDescent="0.3">
      <c r="I45" s="458"/>
    </row>
    <row r="46" spans="2:30" ht="15" customHeight="1" x14ac:dyDescent="0.35">
      <c r="B46" s="459" t="s">
        <v>255</v>
      </c>
      <c r="C46" s="460"/>
      <c r="D46" s="460"/>
      <c r="E46" s="460"/>
      <c r="F46" s="461"/>
      <c r="G46" s="460"/>
      <c r="H46" s="460"/>
      <c r="I46" s="461"/>
      <c r="J46" s="59"/>
      <c r="K46" s="59"/>
      <c r="S46" s="24"/>
    </row>
    <row r="47" spans="2:30" x14ac:dyDescent="0.3">
      <c r="I47" s="458"/>
      <c r="S47" s="24"/>
    </row>
    <row r="48" spans="2:30" ht="15" customHeight="1" x14ac:dyDescent="0.3">
      <c r="B48" s="462" t="s">
        <v>256</v>
      </c>
      <c r="C48" s="460"/>
      <c r="D48" s="460"/>
      <c r="E48" s="460"/>
      <c r="F48" s="460"/>
      <c r="G48" s="460"/>
      <c r="H48" s="460"/>
      <c r="I48" s="461"/>
      <c r="J48" s="59"/>
      <c r="S48" s="24"/>
    </row>
    <row r="49" spans="2:19" ht="15" customHeight="1" thickBot="1" x14ac:dyDescent="0.35">
      <c r="C49"/>
      <c r="D49"/>
      <c r="E49"/>
      <c r="F49"/>
      <c r="G49"/>
      <c r="H49"/>
      <c r="I49"/>
      <c r="S49" s="24"/>
    </row>
    <row r="50" spans="2:19" ht="15" customHeight="1" thickBot="1" x14ac:dyDescent="0.35">
      <c r="C50" s="97" t="s">
        <v>257</v>
      </c>
      <c r="D50" s="463" t="s">
        <v>258</v>
      </c>
      <c r="E50"/>
      <c r="F50" s="464" t="s">
        <v>259</v>
      </c>
      <c r="G50" s="465"/>
      <c r="H50" s="466"/>
      <c r="I50" s="465"/>
      <c r="J50" s="467"/>
      <c r="S50" s="24"/>
    </row>
    <row r="51" spans="2:19" ht="15" customHeight="1" x14ac:dyDescent="0.3">
      <c r="B51" s="468" t="s">
        <v>260</v>
      </c>
      <c r="C51" s="469" t="s">
        <v>261</v>
      </c>
      <c r="D51" s="470" t="s">
        <v>262</v>
      </c>
      <c r="E51"/>
      <c r="F51" s="471" t="s">
        <v>263</v>
      </c>
      <c r="G51" s="472"/>
      <c r="H51" s="444"/>
      <c r="I51" s="472"/>
      <c r="J51" s="473"/>
      <c r="S51" s="24"/>
    </row>
    <row r="52" spans="2:19" ht="15" customHeight="1" x14ac:dyDescent="0.3">
      <c r="B52" s="474" t="s">
        <v>264</v>
      </c>
      <c r="C52" s="475">
        <v>18</v>
      </c>
      <c r="D52" s="476" t="s">
        <v>265</v>
      </c>
      <c r="E52"/>
      <c r="F52" s="471" t="s">
        <v>266</v>
      </c>
      <c r="G52" s="472"/>
      <c r="H52" s="444"/>
      <c r="I52" s="472"/>
      <c r="J52" s="473"/>
      <c r="S52" s="24"/>
    </row>
    <row r="53" spans="2:19" ht="15" customHeight="1" x14ac:dyDescent="0.3">
      <c r="B53" s="474" t="s">
        <v>267</v>
      </c>
      <c r="C53" s="477">
        <v>9</v>
      </c>
      <c r="D53" s="476" t="s">
        <v>265</v>
      </c>
      <c r="E53"/>
      <c r="F53" s="471" t="s">
        <v>268</v>
      </c>
      <c r="G53" s="472"/>
      <c r="H53" s="444"/>
      <c r="I53" s="472"/>
      <c r="J53" s="473"/>
    </row>
    <row r="54" spans="2:19" ht="15" customHeight="1" x14ac:dyDescent="0.3">
      <c r="B54" s="474" t="s">
        <v>269</v>
      </c>
      <c r="C54" s="475">
        <v>235</v>
      </c>
      <c r="D54" s="476" t="s">
        <v>270</v>
      </c>
      <c r="E54"/>
      <c r="F54" s="471" t="s">
        <v>271</v>
      </c>
      <c r="G54" s="472"/>
      <c r="H54" s="444"/>
      <c r="I54" s="472"/>
      <c r="J54" s="473"/>
    </row>
    <row r="55" spans="2:19" ht="15" customHeight="1" thickBot="1" x14ac:dyDescent="0.35">
      <c r="B55" s="478" t="s">
        <v>272</v>
      </c>
      <c r="C55" s="479">
        <v>180</v>
      </c>
      <c r="D55" s="480" t="s">
        <v>270</v>
      </c>
      <c r="E55"/>
      <c r="F55" s="471" t="s">
        <v>273</v>
      </c>
      <c r="G55" s="472"/>
      <c r="H55" s="444"/>
      <c r="I55" s="472"/>
      <c r="J55" s="473"/>
    </row>
    <row r="56" spans="2:19" ht="15" customHeight="1" x14ac:dyDescent="0.3">
      <c r="B56" s="175"/>
      <c r="D56"/>
      <c r="E56"/>
      <c r="F56" s="481" t="s">
        <v>274</v>
      </c>
      <c r="G56" s="482"/>
      <c r="H56" s="483"/>
      <c r="I56" s="482"/>
      <c r="J56" s="484"/>
    </row>
    <row r="57" spans="2:19" ht="15" customHeight="1" x14ac:dyDescent="0.3">
      <c r="B57" s="175"/>
      <c r="D57"/>
      <c r="E57"/>
      <c r="F57" s="485" t="s">
        <v>275</v>
      </c>
      <c r="G57" s="486" t="s">
        <v>276</v>
      </c>
      <c r="H57" s="487"/>
      <c r="I57" s="472"/>
      <c r="J57" s="473"/>
    </row>
    <row r="58" spans="2:19" ht="15" customHeight="1" x14ac:dyDescent="0.3">
      <c r="B58" s="175"/>
      <c r="D58"/>
      <c r="E58"/>
      <c r="F58" s="485" t="s">
        <v>277</v>
      </c>
      <c r="G58" s="488" t="s">
        <v>278</v>
      </c>
      <c r="H58" s="487"/>
      <c r="I58" s="472"/>
      <c r="J58" s="473"/>
    </row>
    <row r="59" spans="2:19" ht="15" customHeight="1" x14ac:dyDescent="0.3">
      <c r="B59" s="175"/>
      <c r="D59"/>
      <c r="E59"/>
      <c r="F59" s="485" t="s">
        <v>275</v>
      </c>
      <c r="G59" s="486" t="s">
        <v>279</v>
      </c>
      <c r="H59" s="487"/>
      <c r="I59" s="472"/>
      <c r="J59" s="473"/>
    </row>
    <row r="60" spans="2:19" ht="15" customHeight="1" x14ac:dyDescent="0.3">
      <c r="B60" s="175"/>
      <c r="D60"/>
      <c r="E60"/>
      <c r="F60" s="485" t="s">
        <v>280</v>
      </c>
      <c r="G60" s="488" t="s">
        <v>281</v>
      </c>
      <c r="H60" s="487"/>
      <c r="I60" s="472"/>
      <c r="J60" s="473"/>
    </row>
    <row r="61" spans="2:19" ht="15" customHeight="1" x14ac:dyDescent="0.3">
      <c r="B61" s="175"/>
      <c r="D61"/>
      <c r="E61"/>
      <c r="F61" s="489"/>
      <c r="G61" s="490" t="s">
        <v>282</v>
      </c>
      <c r="H61" s="487"/>
      <c r="I61" s="472"/>
      <c r="J61" s="473"/>
    </row>
    <row r="62" spans="2:19" ht="15" customHeight="1" thickBot="1" x14ac:dyDescent="0.35">
      <c r="B62" s="175"/>
      <c r="D62"/>
      <c r="E62"/>
      <c r="F62" s="491" t="s">
        <v>283</v>
      </c>
      <c r="G62" s="492" t="s">
        <v>284</v>
      </c>
      <c r="H62" s="493"/>
      <c r="I62" s="494"/>
      <c r="J62" s="495"/>
    </row>
    <row r="63" spans="2:19" ht="15" customHeight="1" x14ac:dyDescent="0.3">
      <c r="B63" s="175"/>
    </row>
    <row r="64" spans="2:19" x14ac:dyDescent="0.3">
      <c r="B64" s="59" t="s">
        <v>285</v>
      </c>
      <c r="C64" s="52" t="s">
        <v>245</v>
      </c>
      <c r="D64" s="60"/>
      <c r="E64" s="60" t="s">
        <v>286</v>
      </c>
      <c r="F64" s="60" t="s">
        <v>287</v>
      </c>
      <c r="G64" s="60" t="s">
        <v>288</v>
      </c>
      <c r="H64" s="283" t="s">
        <v>289</v>
      </c>
    </row>
    <row r="65" spans="3:28" ht="15" customHeight="1" x14ac:dyDescent="0.3">
      <c r="C65" s="2">
        <v>2021</v>
      </c>
      <c r="E65" s="496">
        <v>0.05</v>
      </c>
      <c r="F65" s="496">
        <v>0.12</v>
      </c>
      <c r="G65" s="94">
        <v>0.11</v>
      </c>
      <c r="H65" s="285">
        <v>0.02</v>
      </c>
      <c r="Z65" s="160"/>
      <c r="AA65" s="160"/>
      <c r="AB65" s="160"/>
    </row>
    <row r="66" spans="3:28" ht="15" customHeight="1" x14ac:dyDescent="0.3">
      <c r="C66" s="2">
        <v>2022</v>
      </c>
      <c r="E66" s="284">
        <v>0.08</v>
      </c>
      <c r="F66" s="284">
        <v>0.17</v>
      </c>
      <c r="G66" s="94">
        <v>0.17</v>
      </c>
      <c r="H66" s="285">
        <v>0.03</v>
      </c>
      <c r="I66"/>
      <c r="Z66" s="160"/>
      <c r="AA66" s="160"/>
      <c r="AB66" s="160"/>
    </row>
    <row r="67" spans="3:28" ht="15" customHeight="1" x14ac:dyDescent="0.3">
      <c r="C67" s="2">
        <v>2023</v>
      </c>
      <c r="E67" s="284">
        <v>0.14000000000000001</v>
      </c>
      <c r="F67" s="284">
        <v>0.25</v>
      </c>
      <c r="G67" s="94">
        <v>0.26</v>
      </c>
      <c r="H67" s="285">
        <v>0.05</v>
      </c>
      <c r="I67"/>
      <c r="Z67" s="160"/>
      <c r="AA67" s="160"/>
      <c r="AB67" s="160"/>
    </row>
    <row r="68" spans="3:28" ht="15" customHeight="1" x14ac:dyDescent="0.3">
      <c r="C68" s="2">
        <v>2024</v>
      </c>
      <c r="E68" s="284">
        <v>0.23</v>
      </c>
      <c r="F68" s="284">
        <v>0.34</v>
      </c>
      <c r="G68" s="94">
        <v>0.4</v>
      </c>
      <c r="H68" s="285">
        <v>7.0000000000000007E-2</v>
      </c>
      <c r="I68"/>
      <c r="Z68" s="160"/>
      <c r="AA68" s="160"/>
      <c r="AB68" s="160"/>
    </row>
    <row r="69" spans="3:28" ht="15" customHeight="1" x14ac:dyDescent="0.3">
      <c r="C69" s="2">
        <v>2025</v>
      </c>
      <c r="E69" s="284">
        <v>0.38</v>
      </c>
      <c r="F69" s="284">
        <v>0.42</v>
      </c>
      <c r="G69" s="94">
        <v>0.59</v>
      </c>
      <c r="H69" s="285">
        <v>0.1</v>
      </c>
      <c r="I69"/>
      <c r="Z69" s="160"/>
      <c r="AA69" s="160"/>
      <c r="AB69" s="160"/>
    </row>
    <row r="70" spans="3:28" ht="15" customHeight="1" x14ac:dyDescent="0.3">
      <c r="C70" s="2">
        <v>2026</v>
      </c>
      <c r="D70"/>
      <c r="E70" s="284">
        <v>0.62</v>
      </c>
      <c r="F70" s="284">
        <v>0.44</v>
      </c>
      <c r="G70" s="94">
        <v>0.84</v>
      </c>
      <c r="H70" s="285">
        <v>0.15</v>
      </c>
      <c r="J70" s="2"/>
      <c r="K70" s="2"/>
      <c r="L70" s="2"/>
      <c r="M70" s="2"/>
      <c r="N70" s="2"/>
      <c r="O70" s="2"/>
      <c r="P70" s="2"/>
      <c r="Q70" s="2"/>
      <c r="R70" s="2"/>
      <c r="S70" s="2"/>
      <c r="T70" s="2"/>
      <c r="Z70" s="160"/>
      <c r="AA70" s="160"/>
      <c r="AB70" s="160"/>
    </row>
    <row r="71" spans="3:28" ht="15" customHeight="1" x14ac:dyDescent="0.3">
      <c r="C71" s="2">
        <v>2027</v>
      </c>
      <c r="D71"/>
      <c r="E71" s="284">
        <v>0.86</v>
      </c>
      <c r="F71" s="284">
        <v>0.44</v>
      </c>
      <c r="G71" s="94">
        <v>1.08</v>
      </c>
      <c r="H71" s="285">
        <v>0.19</v>
      </c>
      <c r="J71" s="2"/>
      <c r="K71" s="2"/>
      <c r="L71" s="2"/>
      <c r="M71" s="2"/>
      <c r="N71" s="2"/>
      <c r="O71" s="2"/>
      <c r="P71" s="2"/>
      <c r="Q71" s="2"/>
      <c r="R71" s="2"/>
      <c r="S71" s="2"/>
      <c r="T71" s="2"/>
      <c r="Z71" s="160"/>
      <c r="AA71" s="160"/>
      <c r="AB71" s="160"/>
    </row>
    <row r="72" spans="3:28" ht="15" customHeight="1" x14ac:dyDescent="0.3">
      <c r="C72" s="2">
        <v>2028</v>
      </c>
      <c r="E72" s="284">
        <v>1.1200000000000001</v>
      </c>
      <c r="F72" s="284">
        <v>0.42</v>
      </c>
      <c r="G72" s="94">
        <v>1.33</v>
      </c>
      <c r="H72" s="285">
        <v>0.24</v>
      </c>
      <c r="Z72" s="160"/>
      <c r="AA72" s="160"/>
      <c r="AB72" s="160"/>
    </row>
    <row r="73" spans="3:28" ht="15" customHeight="1" x14ac:dyDescent="0.3">
      <c r="C73" s="2">
        <v>2029</v>
      </c>
      <c r="E73" s="284">
        <v>1.39</v>
      </c>
      <c r="F73" s="284">
        <v>0.38</v>
      </c>
      <c r="G73" s="94">
        <v>1.58</v>
      </c>
      <c r="H73" s="285">
        <v>0.28000000000000003</v>
      </c>
      <c r="Z73" s="160"/>
      <c r="AA73" s="160"/>
      <c r="AB73" s="160"/>
    </row>
    <row r="74" spans="3:28" ht="15" customHeight="1" x14ac:dyDescent="0.3">
      <c r="C74" s="2">
        <v>2030</v>
      </c>
      <c r="E74" s="284">
        <v>1.59</v>
      </c>
      <c r="F74" s="284">
        <v>0.32</v>
      </c>
      <c r="G74" s="94">
        <v>1.75</v>
      </c>
      <c r="H74" s="285">
        <v>0.32</v>
      </c>
      <c r="Z74" s="160"/>
      <c r="AA74" s="160"/>
      <c r="AB74" s="160"/>
    </row>
    <row r="75" spans="3:28" ht="15" customHeight="1" x14ac:dyDescent="0.3">
      <c r="C75" s="2">
        <v>2031</v>
      </c>
      <c r="E75" s="284">
        <v>1.78</v>
      </c>
      <c r="F75" s="284">
        <v>0.27</v>
      </c>
      <c r="G75" s="94">
        <v>1.91</v>
      </c>
      <c r="H75" s="285">
        <v>0.35</v>
      </c>
      <c r="Z75" s="160"/>
      <c r="AA75" s="160"/>
      <c r="AB75" s="160"/>
    </row>
    <row r="76" spans="3:28" ht="15" customHeight="1" x14ac:dyDescent="0.3">
      <c r="C76" s="2">
        <v>2032</v>
      </c>
      <c r="E76" s="284">
        <v>1.96</v>
      </c>
      <c r="F76" s="284">
        <v>0.23</v>
      </c>
      <c r="G76" s="94">
        <v>2.08</v>
      </c>
      <c r="H76" s="285">
        <v>0.38</v>
      </c>
      <c r="Z76" s="160"/>
      <c r="AA76" s="160"/>
      <c r="AB76" s="160"/>
    </row>
    <row r="77" spans="3:28" ht="15" customHeight="1" x14ac:dyDescent="0.3">
      <c r="C77" s="2">
        <v>2033</v>
      </c>
      <c r="E77" s="284">
        <v>2.15</v>
      </c>
      <c r="F77" s="284">
        <v>0.2</v>
      </c>
      <c r="G77" s="94">
        <v>2.25</v>
      </c>
      <c r="H77" s="285">
        <v>0.41</v>
      </c>
      <c r="Z77" s="160"/>
      <c r="AA77" s="160"/>
      <c r="AB77" s="160"/>
    </row>
    <row r="78" spans="3:28" ht="15" customHeight="1" x14ac:dyDescent="0.3">
      <c r="C78" s="2">
        <v>2034</v>
      </c>
      <c r="E78" s="284">
        <v>2.34</v>
      </c>
      <c r="F78" s="284">
        <v>0.17</v>
      </c>
      <c r="G78" s="94">
        <v>2.42</v>
      </c>
      <c r="H78" s="285">
        <v>0.44</v>
      </c>
    </row>
    <row r="79" spans="3:28" ht="15" customHeight="1" x14ac:dyDescent="0.3">
      <c r="C79" s="2">
        <v>2035</v>
      </c>
      <c r="E79" s="284">
        <v>2.52</v>
      </c>
      <c r="F79" s="284">
        <v>0.14000000000000001</v>
      </c>
      <c r="G79" s="94">
        <v>2.59</v>
      </c>
      <c r="H79" s="285">
        <v>0.48</v>
      </c>
    </row>
    <row r="80" spans="3:28" ht="15" customHeight="1" x14ac:dyDescent="0.3">
      <c r="E80" s="284"/>
      <c r="F80" s="284"/>
      <c r="G80" s="497"/>
      <c r="H80" s="498"/>
    </row>
    <row r="81" spans="2:19" ht="15" customHeight="1" x14ac:dyDescent="0.3">
      <c r="E81" s="284"/>
      <c r="F81" s="284"/>
      <c r="G81" s="497"/>
      <c r="H81" s="498"/>
    </row>
    <row r="82" spans="2:19" ht="15" customHeight="1" x14ac:dyDescent="0.3">
      <c r="B82" s="462" t="s">
        <v>290</v>
      </c>
      <c r="C82" s="460"/>
      <c r="D82" s="460"/>
      <c r="E82" s="460"/>
      <c r="F82" s="460"/>
      <c r="G82" s="460"/>
      <c r="H82" s="460"/>
      <c r="I82" s="461"/>
      <c r="J82" s="59"/>
      <c r="S82" s="24"/>
    </row>
    <row r="83" spans="2:19" ht="15" customHeight="1" thickBot="1" x14ac:dyDescent="0.35">
      <c r="C83"/>
      <c r="D83"/>
      <c r="E83"/>
      <c r="F83"/>
      <c r="G83"/>
      <c r="H83"/>
      <c r="I83"/>
    </row>
    <row r="84" spans="2:19" ht="15" customHeight="1" thickBot="1" x14ac:dyDescent="0.35">
      <c r="B84" s="175"/>
      <c r="C84" s="499" t="s">
        <v>257</v>
      </c>
      <c r="D84" s="500" t="s">
        <v>258</v>
      </c>
      <c r="E84"/>
      <c r="F84" s="464" t="s">
        <v>259</v>
      </c>
      <c r="G84" s="465"/>
      <c r="H84" s="466"/>
      <c r="I84" s="465"/>
      <c r="J84" s="467"/>
    </row>
    <row r="85" spans="2:19" ht="15" customHeight="1" x14ac:dyDescent="0.3">
      <c r="B85" s="468" t="s">
        <v>260</v>
      </c>
      <c r="C85" s="501" t="s">
        <v>291</v>
      </c>
      <c r="D85" s="470" t="s">
        <v>262</v>
      </c>
      <c r="E85"/>
      <c r="F85" s="471" t="s">
        <v>292</v>
      </c>
      <c r="G85" s="472"/>
      <c r="H85" s="444"/>
      <c r="I85" s="472"/>
      <c r="J85" s="473"/>
    </row>
    <row r="86" spans="2:19" ht="15" customHeight="1" x14ac:dyDescent="0.3">
      <c r="B86" s="474" t="s">
        <v>264</v>
      </c>
      <c r="C86" s="502">
        <v>30</v>
      </c>
      <c r="D86" s="476" t="s">
        <v>265</v>
      </c>
      <c r="E86"/>
      <c r="F86" s="471" t="s">
        <v>293</v>
      </c>
      <c r="G86" s="472"/>
      <c r="H86" s="444"/>
      <c r="I86" s="472"/>
      <c r="J86" s="473"/>
    </row>
    <row r="87" spans="2:19" ht="15" customHeight="1" x14ac:dyDescent="0.3">
      <c r="B87" s="474" t="s">
        <v>267</v>
      </c>
      <c r="C87" s="503">
        <v>15</v>
      </c>
      <c r="D87" s="476" t="s">
        <v>265</v>
      </c>
      <c r="E87"/>
      <c r="F87" s="504" t="s">
        <v>294</v>
      </c>
      <c r="G87" s="472"/>
      <c r="H87" s="444"/>
      <c r="I87" s="472"/>
      <c r="J87" s="473"/>
    </row>
    <row r="88" spans="2:19" ht="15" customHeight="1" thickBot="1" x14ac:dyDescent="0.35">
      <c r="B88" s="478" t="s">
        <v>295</v>
      </c>
      <c r="C88" s="505">
        <v>60</v>
      </c>
      <c r="D88" s="707" t="s">
        <v>296</v>
      </c>
      <c r="E88"/>
      <c r="F88" s="481" t="s">
        <v>274</v>
      </c>
      <c r="G88" s="482"/>
      <c r="H88" s="483"/>
      <c r="I88" s="482"/>
      <c r="J88" s="484"/>
    </row>
    <row r="89" spans="2:19" ht="15" customHeight="1" x14ac:dyDescent="0.3">
      <c r="C89"/>
      <c r="E89"/>
      <c r="F89" s="485" t="s">
        <v>275</v>
      </c>
      <c r="G89" s="486" t="s">
        <v>297</v>
      </c>
      <c r="H89" s="487"/>
      <c r="I89" s="472"/>
      <c r="J89" s="473"/>
    </row>
    <row r="90" spans="2:19" ht="15" customHeight="1" thickBot="1" x14ac:dyDescent="0.35">
      <c r="C90"/>
      <c r="E90"/>
      <c r="F90" s="491" t="s">
        <v>277</v>
      </c>
      <c r="G90" s="506" t="s">
        <v>278</v>
      </c>
      <c r="H90" s="493"/>
      <c r="I90" s="494"/>
      <c r="J90" s="495"/>
    </row>
    <row r="91" spans="2:19" ht="15" customHeight="1" x14ac:dyDescent="0.3">
      <c r="C91"/>
      <c r="E91"/>
      <c r="F91" s="507"/>
      <c r="G91" s="508"/>
    </row>
    <row r="92" spans="2:19" ht="15" customHeight="1" x14ac:dyDescent="0.3">
      <c r="B92" s="175"/>
      <c r="E92"/>
      <c r="F92"/>
      <c r="G92"/>
      <c r="H92"/>
      <c r="I92"/>
    </row>
    <row r="93" spans="2:19" ht="15" customHeight="1" x14ac:dyDescent="0.3">
      <c r="B93" s="59" t="s">
        <v>298</v>
      </c>
      <c r="C93" s="52" t="s">
        <v>245</v>
      </c>
      <c r="D93" s="60"/>
      <c r="E93" s="60" t="s">
        <v>286</v>
      </c>
      <c r="F93" s="60" t="s">
        <v>287</v>
      </c>
      <c r="G93" s="60" t="s">
        <v>288</v>
      </c>
      <c r="H93" s="283" t="s">
        <v>289</v>
      </c>
    </row>
    <row r="94" spans="2:19" ht="15" customHeight="1" x14ac:dyDescent="0.3">
      <c r="C94" s="2">
        <v>2021</v>
      </c>
      <c r="E94" s="286">
        <v>3.12</v>
      </c>
      <c r="F94" s="286">
        <v>0.78</v>
      </c>
      <c r="G94" s="287">
        <v>3.51</v>
      </c>
      <c r="H94" s="285">
        <v>0</v>
      </c>
    </row>
    <row r="95" spans="2:19" ht="15" customHeight="1" x14ac:dyDescent="0.3">
      <c r="C95" s="2">
        <v>2022</v>
      </c>
      <c r="E95" s="286">
        <v>6.19</v>
      </c>
      <c r="F95" s="286">
        <v>2.0499999999999998</v>
      </c>
      <c r="G95" s="287">
        <v>7.21</v>
      </c>
      <c r="H95" s="285">
        <v>0.01</v>
      </c>
    </row>
    <row r="96" spans="2:19" ht="15" customHeight="1" x14ac:dyDescent="0.3">
      <c r="C96" s="2">
        <v>2023</v>
      </c>
      <c r="E96" s="286">
        <v>10.75</v>
      </c>
      <c r="F96" s="286">
        <v>4.03</v>
      </c>
      <c r="G96" s="287">
        <v>12.77</v>
      </c>
      <c r="H96" s="285">
        <v>0.01</v>
      </c>
    </row>
    <row r="97" spans="2:19" ht="15" customHeight="1" x14ac:dyDescent="0.3">
      <c r="C97" s="2">
        <v>2024</v>
      </c>
      <c r="E97" s="286">
        <v>17.649999999999999</v>
      </c>
      <c r="F97" s="286">
        <v>6.85</v>
      </c>
      <c r="G97" s="287">
        <v>21.07</v>
      </c>
      <c r="H97" s="285">
        <v>0.02</v>
      </c>
    </row>
    <row r="98" spans="2:19" ht="15" customHeight="1" x14ac:dyDescent="0.3">
      <c r="C98" s="2">
        <v>2025</v>
      </c>
      <c r="E98" s="286">
        <v>27.94</v>
      </c>
      <c r="F98" s="286">
        <v>10.48</v>
      </c>
      <c r="G98" s="287">
        <v>33.17</v>
      </c>
      <c r="H98" s="285">
        <v>0.04</v>
      </c>
    </row>
    <row r="99" spans="2:19" ht="15" customHeight="1" x14ac:dyDescent="0.3">
      <c r="C99" s="2">
        <v>2026</v>
      </c>
      <c r="D99"/>
      <c r="E99" s="286">
        <v>42.83</v>
      </c>
      <c r="F99" s="286">
        <v>14.69</v>
      </c>
      <c r="G99" s="287">
        <v>50.18</v>
      </c>
      <c r="H99" s="285">
        <v>0.06</v>
      </c>
    </row>
    <row r="100" spans="2:19" ht="15" customHeight="1" x14ac:dyDescent="0.3">
      <c r="C100" s="2">
        <v>2027</v>
      </c>
      <c r="D100"/>
      <c r="E100" s="286">
        <v>63.43</v>
      </c>
      <c r="F100" s="286">
        <v>19.23</v>
      </c>
      <c r="G100" s="287">
        <v>73.05</v>
      </c>
      <c r="H100" s="285">
        <v>0.08</v>
      </c>
    </row>
    <row r="101" spans="2:19" ht="15" customHeight="1" x14ac:dyDescent="0.3">
      <c r="C101" s="2">
        <v>2028</v>
      </c>
      <c r="E101" s="286">
        <v>90.29</v>
      </c>
      <c r="F101" s="286">
        <v>23.86</v>
      </c>
      <c r="G101" s="287">
        <v>102.22</v>
      </c>
      <c r="H101" s="285">
        <v>0.11</v>
      </c>
    </row>
    <row r="102" spans="2:19" ht="15" customHeight="1" x14ac:dyDescent="0.3">
      <c r="C102" s="2">
        <v>2029</v>
      </c>
      <c r="E102" s="286">
        <v>123.09</v>
      </c>
      <c r="F102" s="286">
        <v>28.43</v>
      </c>
      <c r="G102" s="287">
        <v>137.30000000000001</v>
      </c>
      <c r="H102" s="285">
        <v>0.15</v>
      </c>
    </row>
    <row r="103" spans="2:19" ht="15" customHeight="1" x14ac:dyDescent="0.3">
      <c r="C103" s="2">
        <v>2030</v>
      </c>
      <c r="E103" s="286">
        <v>160.69999999999999</v>
      </c>
      <c r="F103" s="286">
        <v>32.94</v>
      </c>
      <c r="G103" s="287">
        <v>177.17</v>
      </c>
      <c r="H103" s="285">
        <v>0.19</v>
      </c>
    </row>
    <row r="104" spans="2:19" ht="15" customHeight="1" x14ac:dyDescent="0.3">
      <c r="C104" s="2">
        <v>2031</v>
      </c>
      <c r="E104" s="286">
        <v>201.56</v>
      </c>
      <c r="F104" s="286">
        <v>36.049999999999997</v>
      </c>
      <c r="G104" s="287">
        <v>219.58</v>
      </c>
      <c r="H104" s="285">
        <v>0.23</v>
      </c>
    </row>
    <row r="105" spans="2:19" ht="15" customHeight="1" x14ac:dyDescent="0.3">
      <c r="C105" s="2">
        <v>2032</v>
      </c>
      <c r="E105" s="286">
        <v>244.07</v>
      </c>
      <c r="F105" s="286">
        <v>37.75</v>
      </c>
      <c r="G105" s="287">
        <v>262.95</v>
      </c>
      <c r="H105" s="285">
        <v>0.28000000000000003</v>
      </c>
    </row>
    <row r="106" spans="2:19" ht="15" customHeight="1" x14ac:dyDescent="0.3">
      <c r="C106" s="2">
        <v>2033</v>
      </c>
      <c r="E106" s="286">
        <v>286.95</v>
      </c>
      <c r="F106" s="286">
        <v>38.14</v>
      </c>
      <c r="G106" s="287">
        <v>306.02</v>
      </c>
      <c r="H106" s="285">
        <v>0.32</v>
      </c>
    </row>
    <row r="107" spans="2:19" ht="15" customHeight="1" x14ac:dyDescent="0.3">
      <c r="C107" s="2">
        <v>2034</v>
      </c>
      <c r="E107" s="286">
        <v>329.28</v>
      </c>
      <c r="F107" s="286">
        <v>37.57</v>
      </c>
      <c r="G107" s="287">
        <v>348.06</v>
      </c>
      <c r="H107" s="285">
        <v>0.36</v>
      </c>
    </row>
    <row r="108" spans="2:19" ht="15" customHeight="1" x14ac:dyDescent="0.3">
      <c r="C108" s="2">
        <v>2035</v>
      </c>
      <c r="E108" s="286">
        <v>371.81</v>
      </c>
      <c r="F108" s="286">
        <v>35.54</v>
      </c>
      <c r="G108" s="287">
        <v>389.58</v>
      </c>
      <c r="H108" s="285">
        <v>0.4</v>
      </c>
    </row>
    <row r="109" spans="2:19" ht="15" customHeight="1" x14ac:dyDescent="0.3">
      <c r="E109" s="288"/>
      <c r="F109" s="288"/>
      <c r="G109" s="289"/>
    </row>
    <row r="110" spans="2:19" ht="15" customHeight="1" x14ac:dyDescent="0.3">
      <c r="E110" s="288"/>
      <c r="F110" s="288"/>
      <c r="G110" s="289"/>
    </row>
    <row r="111" spans="2:19" ht="15" customHeight="1" x14ac:dyDescent="0.3">
      <c r="E111" s="288"/>
      <c r="F111" s="288"/>
      <c r="G111" s="289"/>
    </row>
    <row r="112" spans="2:19" ht="15" customHeight="1" x14ac:dyDescent="0.3">
      <c r="B112" s="462" t="s">
        <v>299</v>
      </c>
      <c r="C112" s="460"/>
      <c r="D112" s="460"/>
      <c r="E112" s="460"/>
      <c r="F112" s="460"/>
      <c r="G112" s="460"/>
      <c r="H112" s="460"/>
      <c r="I112" s="461"/>
      <c r="J112" s="59"/>
      <c r="S112" s="24"/>
    </row>
    <row r="113" spans="2:10" ht="15" customHeight="1" thickBot="1" x14ac:dyDescent="0.35">
      <c r="C113"/>
      <c r="D113"/>
      <c r="E113"/>
      <c r="F113"/>
      <c r="G113"/>
      <c r="H113"/>
      <c r="I113"/>
    </row>
    <row r="114" spans="2:10" ht="15" customHeight="1" thickBot="1" x14ac:dyDescent="0.35">
      <c r="B114" s="175"/>
      <c r="C114" s="499" t="s">
        <v>257</v>
      </c>
      <c r="D114" s="500" t="s">
        <v>258</v>
      </c>
      <c r="F114" s="464" t="s">
        <v>259</v>
      </c>
      <c r="G114" s="465"/>
      <c r="H114" s="466"/>
      <c r="I114" s="465"/>
      <c r="J114" s="467"/>
    </row>
    <row r="115" spans="2:10" ht="15" customHeight="1" x14ac:dyDescent="0.3">
      <c r="B115" s="468" t="s">
        <v>260</v>
      </c>
      <c r="C115" s="501" t="s">
        <v>300</v>
      </c>
      <c r="D115" s="470" t="s">
        <v>262</v>
      </c>
      <c r="E115"/>
      <c r="F115" s="471" t="s">
        <v>301</v>
      </c>
      <c r="G115" s="472"/>
      <c r="H115" s="444"/>
      <c r="I115" s="472"/>
      <c r="J115" s="473"/>
    </row>
    <row r="116" spans="2:10" ht="15" customHeight="1" x14ac:dyDescent="0.3">
      <c r="B116" s="474" t="s">
        <v>302</v>
      </c>
      <c r="C116" s="502">
        <v>120</v>
      </c>
      <c r="D116" s="476" t="s">
        <v>265</v>
      </c>
      <c r="E116"/>
      <c r="F116" s="471" t="s">
        <v>303</v>
      </c>
      <c r="G116" s="472"/>
      <c r="H116" s="444"/>
      <c r="I116" s="472"/>
      <c r="J116" s="473"/>
    </row>
    <row r="117" spans="2:10" ht="15" customHeight="1" thickBot="1" x14ac:dyDescent="0.35">
      <c r="B117" s="478" t="s">
        <v>295</v>
      </c>
      <c r="C117" s="505">
        <v>8</v>
      </c>
      <c r="D117" s="480" t="s">
        <v>296</v>
      </c>
      <c r="E117"/>
      <c r="F117" s="471"/>
      <c r="G117" s="472"/>
      <c r="H117" s="444"/>
      <c r="I117" s="472"/>
      <c r="J117" s="473"/>
    </row>
    <row r="118" spans="2:10" ht="15" customHeight="1" x14ac:dyDescent="0.3">
      <c r="B118" s="175"/>
      <c r="E118"/>
      <c r="F118" s="481" t="s">
        <v>274</v>
      </c>
      <c r="G118" s="482"/>
      <c r="H118" s="483"/>
      <c r="I118" s="482"/>
      <c r="J118" s="484"/>
    </row>
    <row r="119" spans="2:10" ht="15" customHeight="1" x14ac:dyDescent="0.3">
      <c r="B119" s="175"/>
      <c r="E119"/>
      <c r="F119" s="485" t="s">
        <v>275</v>
      </c>
      <c r="G119" s="445" t="s">
        <v>297</v>
      </c>
      <c r="H119" s="487"/>
      <c r="I119" s="472"/>
      <c r="J119" s="473"/>
    </row>
    <row r="120" spans="2:10" ht="15" customHeight="1" x14ac:dyDescent="0.3">
      <c r="B120" s="175"/>
      <c r="E120"/>
      <c r="F120" s="485" t="s">
        <v>275</v>
      </c>
      <c r="G120" s="445" t="s">
        <v>304</v>
      </c>
      <c r="H120" s="487"/>
      <c r="I120" s="472"/>
      <c r="J120" s="473"/>
    </row>
    <row r="121" spans="2:10" ht="15" customHeight="1" x14ac:dyDescent="0.3">
      <c r="B121" s="175"/>
      <c r="E121"/>
      <c r="F121" s="485" t="s">
        <v>277</v>
      </c>
      <c r="G121" s="445" t="s">
        <v>305</v>
      </c>
      <c r="H121" s="487"/>
      <c r="I121" s="472"/>
      <c r="J121" s="473"/>
    </row>
    <row r="122" spans="2:10" ht="15" customHeight="1" x14ac:dyDescent="0.3">
      <c r="B122" s="175"/>
      <c r="E122"/>
      <c r="F122" s="485" t="s">
        <v>277</v>
      </c>
      <c r="G122" s="445" t="s">
        <v>306</v>
      </c>
      <c r="H122" s="487"/>
      <c r="I122" s="472"/>
      <c r="J122" s="473"/>
    </row>
    <row r="123" spans="2:10" ht="15" customHeight="1" x14ac:dyDescent="0.3">
      <c r="B123" s="175"/>
      <c r="E123"/>
      <c r="F123" s="485" t="s">
        <v>277</v>
      </c>
      <c r="G123" s="445" t="s">
        <v>307</v>
      </c>
      <c r="H123" s="487"/>
      <c r="I123" s="472"/>
      <c r="J123" s="473"/>
    </row>
    <row r="124" spans="2:10" ht="15" customHeight="1" x14ac:dyDescent="0.3">
      <c r="B124" s="175"/>
      <c r="E124"/>
      <c r="F124" s="485" t="s">
        <v>280</v>
      </c>
      <c r="G124" s="488" t="s">
        <v>308</v>
      </c>
      <c r="H124" s="487"/>
      <c r="I124" s="472"/>
      <c r="J124" s="473"/>
    </row>
    <row r="125" spans="2:10" ht="15" customHeight="1" x14ac:dyDescent="0.3">
      <c r="B125" s="175"/>
      <c r="E125"/>
      <c r="F125" s="485"/>
      <c r="G125" s="509" t="s">
        <v>309</v>
      </c>
      <c r="H125" s="487"/>
      <c r="I125" s="472"/>
      <c r="J125" s="473"/>
    </row>
    <row r="126" spans="2:10" ht="15" customHeight="1" thickBot="1" x14ac:dyDescent="0.35">
      <c r="B126" s="175"/>
      <c r="E126"/>
      <c r="F126" s="491"/>
      <c r="G126" s="510" t="s">
        <v>310</v>
      </c>
      <c r="H126" s="493"/>
      <c r="I126" s="494"/>
      <c r="J126" s="495"/>
    </row>
    <row r="127" spans="2:10" ht="15" customHeight="1" x14ac:dyDescent="0.3">
      <c r="B127" s="175"/>
      <c r="E127"/>
      <c r="F127"/>
      <c r="G127" s="511"/>
      <c r="H127" s="508"/>
      <c r="J127" s="2"/>
    </row>
    <row r="128" spans="2:10" ht="15" customHeight="1" x14ac:dyDescent="0.3">
      <c r="B128" s="175"/>
      <c r="E128"/>
      <c r="F128"/>
      <c r="G128" s="511"/>
      <c r="H128" s="508"/>
      <c r="J128" s="2"/>
    </row>
    <row r="129" spans="2:8" ht="15" customHeight="1" x14ac:dyDescent="0.3">
      <c r="B129" s="1023"/>
      <c r="C129" s="1023"/>
      <c r="D129" s="1023"/>
      <c r="E129" s="1023"/>
      <c r="F129" s="1023"/>
    </row>
    <row r="130" spans="2:8" ht="15" customHeight="1" x14ac:dyDescent="0.3">
      <c r="B130" s="59" t="s">
        <v>298</v>
      </c>
      <c r="C130" s="52" t="s">
        <v>245</v>
      </c>
      <c r="D130" s="60"/>
      <c r="E130" s="60" t="s">
        <v>286</v>
      </c>
      <c r="F130" s="60" t="s">
        <v>287</v>
      </c>
      <c r="G130" s="60" t="s">
        <v>288</v>
      </c>
      <c r="H130" s="283" t="s">
        <v>289</v>
      </c>
    </row>
    <row r="131" spans="2:8" ht="15" customHeight="1" x14ac:dyDescent="0.3">
      <c r="C131" s="2">
        <v>2021</v>
      </c>
      <c r="E131" s="286">
        <v>0.02</v>
      </c>
      <c r="F131" s="286"/>
      <c r="G131" s="287">
        <v>0.02</v>
      </c>
      <c r="H131" s="285">
        <v>0</v>
      </c>
    </row>
    <row r="132" spans="2:8" ht="15" customHeight="1" x14ac:dyDescent="0.3">
      <c r="C132" s="2">
        <v>2022</v>
      </c>
      <c r="E132" s="286">
        <v>0.03</v>
      </c>
      <c r="F132" s="286"/>
      <c r="G132" s="287">
        <v>0.03</v>
      </c>
      <c r="H132" s="285">
        <v>0</v>
      </c>
    </row>
    <row r="133" spans="2:8" ht="15" customHeight="1" x14ac:dyDescent="0.3">
      <c r="C133" s="2">
        <v>2023</v>
      </c>
      <c r="E133" s="286">
        <v>0.05</v>
      </c>
      <c r="F133" s="286"/>
      <c r="G133" s="287">
        <v>0.05</v>
      </c>
      <c r="H133" s="285">
        <v>0</v>
      </c>
    </row>
    <row r="134" spans="2:8" ht="15" customHeight="1" x14ac:dyDescent="0.3">
      <c r="C134" s="2">
        <v>2024</v>
      </c>
      <c r="E134" s="286">
        <v>0.09</v>
      </c>
      <c r="F134" s="286"/>
      <c r="G134" s="287">
        <v>0.09</v>
      </c>
      <c r="H134" s="285">
        <v>1E-3</v>
      </c>
    </row>
    <row r="135" spans="2:8" ht="15" customHeight="1" x14ac:dyDescent="0.3">
      <c r="C135" s="2">
        <v>2025</v>
      </c>
      <c r="E135" s="286">
        <v>0.15</v>
      </c>
      <c r="F135" s="286"/>
      <c r="G135" s="287">
        <v>0.15</v>
      </c>
      <c r="H135" s="285">
        <v>1E-3</v>
      </c>
    </row>
    <row r="136" spans="2:8" ht="15" customHeight="1" x14ac:dyDescent="0.3">
      <c r="C136" s="2">
        <v>2026</v>
      </c>
      <c r="D136"/>
      <c r="E136" s="290">
        <v>0.24</v>
      </c>
      <c r="F136" s="286"/>
      <c r="G136" s="287">
        <v>0.24</v>
      </c>
      <c r="H136" s="285">
        <v>2E-3</v>
      </c>
    </row>
    <row r="137" spans="2:8" ht="15" customHeight="1" x14ac:dyDescent="0.3">
      <c r="C137" s="2">
        <v>2027</v>
      </c>
      <c r="D137"/>
      <c r="E137" s="286">
        <v>0.4</v>
      </c>
      <c r="F137" s="286"/>
      <c r="G137" s="287">
        <v>0.4</v>
      </c>
      <c r="H137" s="285">
        <v>3.0000000000000001E-3</v>
      </c>
    </row>
    <row r="138" spans="2:8" ht="15" customHeight="1" x14ac:dyDescent="0.3">
      <c r="C138" s="2">
        <v>2028</v>
      </c>
      <c r="E138" s="286">
        <v>0.65</v>
      </c>
      <c r="F138" s="286"/>
      <c r="G138" s="287">
        <v>0.65</v>
      </c>
      <c r="H138" s="285">
        <v>5.0000000000000001E-3</v>
      </c>
    </row>
    <row r="139" spans="2:8" ht="15" customHeight="1" x14ac:dyDescent="0.3">
      <c r="C139" s="2">
        <v>2029</v>
      </c>
      <c r="E139" s="286">
        <v>1.04</v>
      </c>
      <c r="F139" s="286"/>
      <c r="G139" s="287">
        <v>1.04</v>
      </c>
      <c r="H139" s="285">
        <v>7.0000000000000001E-3</v>
      </c>
    </row>
    <row r="140" spans="2:8" ht="15" customHeight="1" x14ac:dyDescent="0.3">
      <c r="C140" s="2">
        <v>2030</v>
      </c>
      <c r="E140" s="286">
        <v>1.61</v>
      </c>
      <c r="F140" s="286"/>
      <c r="G140" s="287">
        <v>1.61</v>
      </c>
      <c r="H140" s="285">
        <v>1.0999999999999999E-2</v>
      </c>
    </row>
    <row r="141" spans="2:8" ht="15" customHeight="1" x14ac:dyDescent="0.3">
      <c r="C141" s="2">
        <v>2031</v>
      </c>
      <c r="E141" s="286">
        <v>2.39</v>
      </c>
      <c r="F141" s="286"/>
      <c r="G141" s="287">
        <v>2.39</v>
      </c>
      <c r="H141" s="285">
        <v>1.7000000000000001E-2</v>
      </c>
    </row>
    <row r="142" spans="2:8" ht="15" customHeight="1" x14ac:dyDescent="0.3">
      <c r="C142" s="2">
        <v>2032</v>
      </c>
      <c r="E142" s="286">
        <v>3.36</v>
      </c>
      <c r="F142" s="286"/>
      <c r="G142" s="287">
        <v>3.36</v>
      </c>
      <c r="H142" s="285">
        <v>2.4E-2</v>
      </c>
    </row>
    <row r="143" spans="2:8" ht="15" customHeight="1" x14ac:dyDescent="0.3">
      <c r="C143" s="2">
        <v>2033</v>
      </c>
      <c r="E143" s="286">
        <v>4.5</v>
      </c>
      <c r="F143" s="286"/>
      <c r="G143" s="287">
        <v>4.5</v>
      </c>
      <c r="H143" s="285">
        <v>3.2000000000000001E-2</v>
      </c>
    </row>
    <row r="144" spans="2:8" ht="15" customHeight="1" x14ac:dyDescent="0.3">
      <c r="C144" s="2">
        <v>2034</v>
      </c>
      <c r="E144" s="286">
        <v>5.76</v>
      </c>
      <c r="F144" s="286"/>
      <c r="G144" s="287">
        <v>5.76</v>
      </c>
      <c r="H144" s="285">
        <v>4.1000000000000002E-2</v>
      </c>
    </row>
    <row r="145" spans="2:19" ht="15" customHeight="1" x14ac:dyDescent="0.3">
      <c r="C145" s="2">
        <v>2035</v>
      </c>
      <c r="E145" s="286">
        <v>7.24</v>
      </c>
      <c r="F145" s="286"/>
      <c r="G145" s="287">
        <v>7.24</v>
      </c>
      <c r="H145" s="285">
        <v>5.0999999999999997E-2</v>
      </c>
    </row>
    <row r="146" spans="2:19" ht="15" customHeight="1" x14ac:dyDescent="0.3">
      <c r="E146" s="288"/>
      <c r="F146" s="288"/>
      <c r="G146" s="289"/>
    </row>
    <row r="147" spans="2:19" ht="15" customHeight="1" x14ac:dyDescent="0.3">
      <c r="E147" s="288"/>
      <c r="F147" s="288"/>
      <c r="G147" s="289"/>
    </row>
    <row r="148" spans="2:19" ht="15" customHeight="1" x14ac:dyDescent="0.3">
      <c r="B148" s="462" t="s">
        <v>311</v>
      </c>
      <c r="C148" s="460"/>
      <c r="D148" s="460"/>
      <c r="E148" s="460"/>
      <c r="F148" s="460"/>
      <c r="G148" s="460"/>
      <c r="H148" s="460"/>
      <c r="I148" s="461"/>
      <c r="J148" s="59"/>
      <c r="S148" s="24"/>
    </row>
    <row r="149" spans="2:19" ht="15" customHeight="1" thickBot="1" x14ac:dyDescent="0.35">
      <c r="C149"/>
      <c r="D149"/>
      <c r="E149"/>
      <c r="F149"/>
      <c r="G149"/>
      <c r="H149"/>
      <c r="I149"/>
    </row>
    <row r="150" spans="2:19" ht="15" customHeight="1" thickBot="1" x14ac:dyDescent="0.35">
      <c r="B150" s="112"/>
      <c r="C150" s="499" t="s">
        <v>257</v>
      </c>
      <c r="D150" s="500" t="s">
        <v>258</v>
      </c>
      <c r="F150" s="464" t="s">
        <v>259</v>
      </c>
      <c r="G150" s="465"/>
      <c r="H150" s="466"/>
      <c r="I150" s="465"/>
      <c r="J150" s="467"/>
    </row>
    <row r="151" spans="2:19" ht="15" customHeight="1" x14ac:dyDescent="0.3">
      <c r="B151" s="512" t="s">
        <v>260</v>
      </c>
      <c r="C151" s="513" t="s">
        <v>312</v>
      </c>
      <c r="D151" s="470" t="s">
        <v>262</v>
      </c>
      <c r="E151"/>
      <c r="F151" s="471" t="s">
        <v>313</v>
      </c>
      <c r="G151" s="472"/>
      <c r="H151" s="444"/>
      <c r="I151" s="472"/>
      <c r="J151" s="473"/>
    </row>
    <row r="152" spans="2:19" ht="15" customHeight="1" thickBot="1" x14ac:dyDescent="0.35">
      <c r="B152" s="514" t="s">
        <v>302</v>
      </c>
      <c r="C152" s="479">
        <v>125</v>
      </c>
      <c r="D152" s="480" t="s">
        <v>265</v>
      </c>
      <c r="E152"/>
      <c r="F152" s="471" t="s">
        <v>314</v>
      </c>
      <c r="G152" s="472"/>
      <c r="H152" s="444"/>
      <c r="I152" s="472"/>
      <c r="J152" s="473"/>
    </row>
    <row r="153" spans="2:19" ht="15" customHeight="1" x14ac:dyDescent="0.3">
      <c r="B153" s="515"/>
      <c r="E153"/>
      <c r="F153" s="471" t="s">
        <v>315</v>
      </c>
      <c r="G153" s="472"/>
      <c r="H153" s="444"/>
      <c r="I153" s="472"/>
      <c r="J153" s="473"/>
    </row>
    <row r="154" spans="2:19" ht="15" customHeight="1" x14ac:dyDescent="0.3">
      <c r="B154" s="516"/>
      <c r="E154"/>
      <c r="F154" s="481" t="s">
        <v>274</v>
      </c>
      <c r="G154" s="482"/>
      <c r="H154" s="483"/>
      <c r="I154" s="482"/>
      <c r="J154" s="484"/>
    </row>
    <row r="155" spans="2:19" ht="15" customHeight="1" x14ac:dyDescent="0.3">
      <c r="B155" s="112"/>
      <c r="E155"/>
      <c r="F155" s="485" t="s">
        <v>280</v>
      </c>
      <c r="G155" s="486" t="s">
        <v>316</v>
      </c>
      <c r="H155" s="487"/>
      <c r="I155" s="472"/>
      <c r="J155" s="473"/>
    </row>
    <row r="156" spans="2:19" ht="15" customHeight="1" thickBot="1" x14ac:dyDescent="0.35">
      <c r="B156" s="112"/>
      <c r="E156"/>
      <c r="F156" s="491" t="s">
        <v>283</v>
      </c>
      <c r="G156" s="492" t="s">
        <v>317</v>
      </c>
      <c r="H156" s="493"/>
      <c r="I156" s="494"/>
      <c r="J156" s="495"/>
    </row>
    <row r="157" spans="2:19" ht="15" customHeight="1" x14ac:dyDescent="0.3">
      <c r="B157" s="112"/>
      <c r="E157"/>
      <c r="F157"/>
      <c r="G157" s="517"/>
      <c r="H157" s="508"/>
      <c r="J157" s="2"/>
    </row>
    <row r="158" spans="2:19" ht="15" customHeight="1" x14ac:dyDescent="0.3">
      <c r="B158" s="1023"/>
      <c r="C158" s="1023"/>
      <c r="D158" s="1023"/>
      <c r="E158" s="1023"/>
      <c r="F158" s="1023"/>
    </row>
    <row r="159" spans="2:19" ht="15" customHeight="1" x14ac:dyDescent="0.3">
      <c r="B159" s="59" t="s">
        <v>298</v>
      </c>
      <c r="C159" s="52" t="s">
        <v>245</v>
      </c>
      <c r="D159" s="60"/>
      <c r="E159" s="60" t="s">
        <v>286</v>
      </c>
      <c r="F159" s="60" t="s">
        <v>287</v>
      </c>
      <c r="G159" s="60" t="s">
        <v>288</v>
      </c>
      <c r="H159" s="283" t="s">
        <v>289</v>
      </c>
    </row>
    <row r="160" spans="2:19" ht="15" customHeight="1" x14ac:dyDescent="0.3">
      <c r="C160" s="2">
        <v>2021</v>
      </c>
      <c r="E160" s="458">
        <v>0.47</v>
      </c>
      <c r="F160" s="518">
        <v>0</v>
      </c>
      <c r="G160" s="93">
        <v>0.47</v>
      </c>
      <c r="H160" s="285">
        <v>2.9000000000000001E-2</v>
      </c>
    </row>
    <row r="161" spans="2:19" ht="15" customHeight="1" x14ac:dyDescent="0.3">
      <c r="C161" s="2">
        <v>2022</v>
      </c>
      <c r="E161" s="165">
        <v>0.91</v>
      </c>
      <c r="F161" s="286">
        <v>0</v>
      </c>
      <c r="G161" s="287">
        <v>0.91</v>
      </c>
      <c r="H161" s="285">
        <v>5.6000000000000001E-2</v>
      </c>
    </row>
    <row r="162" spans="2:19" ht="15" customHeight="1" x14ac:dyDescent="0.3">
      <c r="C162" s="2">
        <v>2023</v>
      </c>
      <c r="E162" s="165">
        <v>1.36</v>
      </c>
      <c r="F162" s="286">
        <v>0</v>
      </c>
      <c r="G162" s="287">
        <v>1.36</v>
      </c>
      <c r="H162" s="285">
        <v>8.3000000000000004E-2</v>
      </c>
    </row>
    <row r="163" spans="2:19" ht="15" customHeight="1" x14ac:dyDescent="0.3">
      <c r="C163" s="2">
        <v>2024</v>
      </c>
      <c r="E163" s="165">
        <v>1.8</v>
      </c>
      <c r="F163" s="286">
        <v>0</v>
      </c>
      <c r="G163" s="287">
        <v>1.8</v>
      </c>
      <c r="H163" s="285">
        <v>0.111</v>
      </c>
    </row>
    <row r="164" spans="2:19" ht="15" customHeight="1" x14ac:dyDescent="0.3">
      <c r="C164" s="2">
        <v>2025</v>
      </c>
      <c r="E164" s="165">
        <v>2.2400000000000002</v>
      </c>
      <c r="F164" s="286">
        <v>0</v>
      </c>
      <c r="G164" s="287">
        <v>2.2400000000000002</v>
      </c>
      <c r="H164" s="285">
        <v>0.13900000000000001</v>
      </c>
    </row>
    <row r="165" spans="2:19" ht="15" customHeight="1" x14ac:dyDescent="0.3">
      <c r="C165" s="2">
        <v>2026</v>
      </c>
      <c r="D165"/>
      <c r="E165" s="165">
        <v>2.68</v>
      </c>
      <c r="F165" s="286">
        <v>0</v>
      </c>
      <c r="G165" s="287">
        <v>2.68</v>
      </c>
      <c r="H165" s="285">
        <v>0.16800000000000001</v>
      </c>
    </row>
    <row r="166" spans="2:19" ht="15" customHeight="1" x14ac:dyDescent="0.3">
      <c r="C166" s="2">
        <v>2027</v>
      </c>
      <c r="D166"/>
      <c r="E166" s="165">
        <v>3.12</v>
      </c>
      <c r="F166" s="286">
        <v>0</v>
      </c>
      <c r="G166" s="287">
        <v>3.12</v>
      </c>
      <c r="H166" s="285">
        <v>0.19700000000000001</v>
      </c>
    </row>
    <row r="167" spans="2:19" ht="15" customHeight="1" x14ac:dyDescent="0.3">
      <c r="C167" s="2">
        <v>2028</v>
      </c>
      <c r="E167" s="165">
        <v>3.56</v>
      </c>
      <c r="F167" s="286">
        <v>0</v>
      </c>
      <c r="G167" s="287">
        <v>3.56</v>
      </c>
      <c r="H167" s="285">
        <v>0.22700000000000001</v>
      </c>
    </row>
    <row r="168" spans="2:19" ht="15" customHeight="1" x14ac:dyDescent="0.3">
      <c r="C168" s="2">
        <v>2029</v>
      </c>
      <c r="E168" s="165">
        <v>4</v>
      </c>
      <c r="F168" s="286">
        <v>0</v>
      </c>
      <c r="G168" s="287">
        <v>4</v>
      </c>
      <c r="H168" s="285">
        <v>0.25700000000000001</v>
      </c>
    </row>
    <row r="169" spans="2:19" ht="15" customHeight="1" x14ac:dyDescent="0.3">
      <c r="C169" s="2">
        <v>2030</v>
      </c>
      <c r="E169" s="165">
        <v>4.4400000000000004</v>
      </c>
      <c r="F169" s="286">
        <v>0</v>
      </c>
      <c r="G169" s="287">
        <v>4.4400000000000004</v>
      </c>
      <c r="H169" s="285">
        <v>0.28699999999999998</v>
      </c>
    </row>
    <row r="170" spans="2:19" ht="15" customHeight="1" x14ac:dyDescent="0.3">
      <c r="C170" s="2">
        <v>2031</v>
      </c>
      <c r="E170" s="165">
        <v>5.62</v>
      </c>
      <c r="F170" s="286">
        <v>0</v>
      </c>
      <c r="G170" s="287">
        <v>5.62</v>
      </c>
      <c r="H170" s="285">
        <v>0.36699999999999999</v>
      </c>
    </row>
    <row r="171" spans="2:19" ht="15" customHeight="1" x14ac:dyDescent="0.3">
      <c r="C171" s="2">
        <v>2032</v>
      </c>
      <c r="E171" s="165">
        <v>6.81</v>
      </c>
      <c r="F171" s="286">
        <v>0</v>
      </c>
      <c r="G171" s="287">
        <v>6.81</v>
      </c>
      <c r="H171" s="285">
        <v>0.44800000000000001</v>
      </c>
    </row>
    <row r="172" spans="2:19" ht="15" customHeight="1" x14ac:dyDescent="0.3">
      <c r="C172" s="2">
        <v>2033</v>
      </c>
      <c r="E172" s="165">
        <v>7.99</v>
      </c>
      <c r="F172" s="286">
        <v>0</v>
      </c>
      <c r="G172" s="287">
        <v>7.99</v>
      </c>
      <c r="H172" s="285">
        <v>0.53100000000000003</v>
      </c>
    </row>
    <row r="173" spans="2:19" ht="15" customHeight="1" x14ac:dyDescent="0.3">
      <c r="C173" s="2">
        <v>2034</v>
      </c>
      <c r="E173" s="165">
        <v>9.17</v>
      </c>
      <c r="F173" s="286">
        <v>0</v>
      </c>
      <c r="G173" s="287">
        <v>9.17</v>
      </c>
      <c r="H173" s="285">
        <v>0.61499999999999999</v>
      </c>
    </row>
    <row r="174" spans="2:19" ht="15" customHeight="1" x14ac:dyDescent="0.3">
      <c r="C174" s="2">
        <v>2035</v>
      </c>
      <c r="E174" s="165">
        <v>10.36</v>
      </c>
      <c r="F174" s="286">
        <v>0</v>
      </c>
      <c r="G174" s="287">
        <v>10.36</v>
      </c>
      <c r="H174" s="285">
        <v>0.7</v>
      </c>
    </row>
    <row r="175" spans="2:19" ht="15" customHeight="1" x14ac:dyDescent="0.3">
      <c r="E175" s="288"/>
      <c r="F175" s="288"/>
      <c r="G175" s="289"/>
    </row>
    <row r="176" spans="2:19" ht="15" customHeight="1" x14ac:dyDescent="0.35">
      <c r="B176" s="459" t="s">
        <v>318</v>
      </c>
      <c r="C176" s="460"/>
      <c r="D176" s="460"/>
      <c r="E176" s="460"/>
      <c r="F176" s="461"/>
      <c r="G176" s="460"/>
      <c r="H176" s="460"/>
      <c r="I176" s="461"/>
      <c r="J176" s="59"/>
      <c r="K176" s="59"/>
      <c r="S176" s="24"/>
    </row>
    <row r="177" spans="2:19" ht="15" customHeight="1" x14ac:dyDescent="0.35">
      <c r="B177" s="159"/>
      <c r="E177" s="288"/>
      <c r="F177" s="288"/>
      <c r="G177" s="289"/>
    </row>
    <row r="178" spans="2:19" ht="15" customHeight="1" x14ac:dyDescent="0.3">
      <c r="B178" s="462" t="s">
        <v>319</v>
      </c>
      <c r="C178" s="460"/>
      <c r="D178" s="460"/>
      <c r="E178" s="460"/>
      <c r="F178" s="460"/>
      <c r="G178" s="460"/>
      <c r="H178" s="460"/>
      <c r="I178" s="461"/>
      <c r="J178" s="59"/>
      <c r="S178" s="24"/>
    </row>
    <row r="179" spans="2:19" ht="15" customHeight="1" thickBot="1" x14ac:dyDescent="0.35">
      <c r="B179" s="112"/>
      <c r="F179"/>
      <c r="G179"/>
      <c r="H179"/>
      <c r="I179"/>
    </row>
    <row r="180" spans="2:19" ht="15" customHeight="1" thickBot="1" x14ac:dyDescent="0.35">
      <c r="B180" s="175"/>
      <c r="C180" s="519" t="s">
        <v>257</v>
      </c>
      <c r="D180" s="520" t="s">
        <v>258</v>
      </c>
      <c r="F180" s="464" t="s">
        <v>259</v>
      </c>
      <c r="G180" s="465"/>
      <c r="H180" s="466"/>
      <c r="I180" s="465"/>
      <c r="J180" s="467"/>
    </row>
    <row r="181" spans="2:19" ht="15" customHeight="1" x14ac:dyDescent="0.3">
      <c r="B181" s="468" t="s">
        <v>320</v>
      </c>
      <c r="C181" s="521">
        <v>55</v>
      </c>
      <c r="D181" s="470" t="s">
        <v>321</v>
      </c>
      <c r="F181" s="471" t="s">
        <v>322</v>
      </c>
      <c r="G181" s="472"/>
      <c r="H181" s="444"/>
      <c r="I181" s="472"/>
      <c r="J181" s="473"/>
    </row>
    <row r="182" spans="2:19" ht="15" customHeight="1" x14ac:dyDescent="0.3">
      <c r="B182" s="474" t="s">
        <v>323</v>
      </c>
      <c r="C182" s="522">
        <v>0.01</v>
      </c>
      <c r="D182" s="476" t="s">
        <v>324</v>
      </c>
      <c r="F182" s="471" t="s">
        <v>325</v>
      </c>
      <c r="G182" s="472"/>
      <c r="H182" s="444"/>
      <c r="I182" s="472"/>
      <c r="J182" s="473"/>
    </row>
    <row r="183" spans="2:19" ht="15" customHeight="1" x14ac:dyDescent="0.3">
      <c r="B183" s="474" t="s">
        <v>326</v>
      </c>
      <c r="C183" s="502">
        <v>6500</v>
      </c>
      <c r="D183" s="476" t="s">
        <v>327</v>
      </c>
      <c r="F183" s="504" t="s">
        <v>328</v>
      </c>
      <c r="G183" s="472"/>
      <c r="H183" s="444"/>
      <c r="I183" s="472"/>
      <c r="J183" s="473"/>
    </row>
    <row r="184" spans="2:19" ht="15" customHeight="1" x14ac:dyDescent="0.3">
      <c r="B184" s="474" t="s">
        <v>329</v>
      </c>
      <c r="C184" s="502">
        <v>10200</v>
      </c>
      <c r="D184" s="476" t="s">
        <v>330</v>
      </c>
      <c r="F184" s="504" t="s">
        <v>331</v>
      </c>
      <c r="G184" s="444"/>
      <c r="H184" s="444"/>
      <c r="I184" s="444"/>
      <c r="J184" s="523"/>
    </row>
    <row r="185" spans="2:19" ht="15" customHeight="1" thickBot="1" x14ac:dyDescent="0.35">
      <c r="B185" s="478" t="s">
        <v>332</v>
      </c>
      <c r="C185" s="505">
        <v>1600</v>
      </c>
      <c r="D185" s="480" t="s">
        <v>327</v>
      </c>
      <c r="E185" s="515"/>
      <c r="F185" s="504" t="s">
        <v>333</v>
      </c>
      <c r="G185" s="444"/>
      <c r="H185" s="444"/>
      <c r="I185" s="444"/>
      <c r="J185" s="523"/>
    </row>
    <row r="186" spans="2:19" ht="15" customHeight="1" x14ac:dyDescent="0.3">
      <c r="B186" s="175"/>
      <c r="E186" s="515"/>
      <c r="F186" s="464" t="s">
        <v>274</v>
      </c>
      <c r="G186" s="465"/>
      <c r="H186" s="524"/>
      <c r="I186" s="465"/>
      <c r="J186" s="467"/>
    </row>
    <row r="187" spans="2:19" ht="15" customHeight="1" x14ac:dyDescent="0.3">
      <c r="B187" s="175"/>
      <c r="E187" s="515"/>
      <c r="F187" s="485" t="s">
        <v>275</v>
      </c>
      <c r="G187" s="486" t="s">
        <v>334</v>
      </c>
      <c r="H187" s="487"/>
      <c r="I187" s="472"/>
      <c r="J187" s="473"/>
    </row>
    <row r="188" spans="2:19" ht="15" customHeight="1" x14ac:dyDescent="0.3">
      <c r="B188" s="175"/>
      <c r="D188" s="2">
        <f>14000*0.75</f>
        <v>10500</v>
      </c>
      <c r="E188" s="515"/>
      <c r="F188" s="485" t="s">
        <v>280</v>
      </c>
      <c r="G188" s="488" t="s">
        <v>335</v>
      </c>
      <c r="H188" s="487"/>
      <c r="I188" s="472"/>
      <c r="J188" s="473"/>
    </row>
    <row r="189" spans="2:19" ht="15" customHeight="1" x14ac:dyDescent="0.3">
      <c r="B189" s="175"/>
      <c r="E189" s="515"/>
      <c r="F189" s="525" t="s">
        <v>336</v>
      </c>
      <c r="G189" s="526"/>
      <c r="H189" s="527"/>
      <c r="I189" s="528"/>
      <c r="J189" s="529"/>
    </row>
    <row r="190" spans="2:19" ht="15" customHeight="1" x14ac:dyDescent="0.3">
      <c r="B190" s="175"/>
      <c r="E190" s="515"/>
      <c r="F190" s="471" t="s">
        <v>275</v>
      </c>
      <c r="G190" s="530" t="s">
        <v>337</v>
      </c>
      <c r="H190" s="531"/>
      <c r="I190" s="532"/>
      <c r="J190" s="533"/>
    </row>
    <row r="191" spans="2:19" ht="15" customHeight="1" x14ac:dyDescent="0.3">
      <c r="B191" s="175"/>
      <c r="E191" s="515"/>
      <c r="F191" s="534" t="s">
        <v>280</v>
      </c>
      <c r="G191" s="530" t="s">
        <v>338</v>
      </c>
      <c r="H191" s="531"/>
      <c r="I191" s="532"/>
      <c r="J191" s="533"/>
    </row>
    <row r="192" spans="2:19" ht="15" customHeight="1" thickBot="1" x14ac:dyDescent="0.35">
      <c r="B192" s="175"/>
      <c r="E192" s="515"/>
      <c r="F192" s="535" t="s">
        <v>339</v>
      </c>
      <c r="G192" s="536" t="s">
        <v>340</v>
      </c>
      <c r="H192" s="537"/>
      <c r="I192" s="538"/>
      <c r="J192" s="539"/>
    </row>
    <row r="193" spans="2:10" ht="15" customHeight="1" x14ac:dyDescent="0.3">
      <c r="B193" s="175"/>
      <c r="E193" s="515"/>
      <c r="F193" s="540"/>
      <c r="G193"/>
      <c r="H193" s="508"/>
      <c r="J193" s="2"/>
    </row>
    <row r="194" spans="2:10" ht="15" customHeight="1" x14ac:dyDescent="0.3">
      <c r="B194" s="1023"/>
      <c r="C194" s="1023"/>
      <c r="D194" s="1023"/>
      <c r="E194" s="1023"/>
      <c r="F194" s="1023"/>
    </row>
    <row r="195" spans="2:10" ht="28.8" x14ac:dyDescent="0.3">
      <c r="B195" s="59" t="s">
        <v>298</v>
      </c>
      <c r="C195" s="52" t="s">
        <v>245</v>
      </c>
      <c r="D195" s="60"/>
      <c r="E195" s="60" t="s">
        <v>341</v>
      </c>
      <c r="F195" s="60" t="s">
        <v>342</v>
      </c>
      <c r="G195" s="60" t="s">
        <v>343</v>
      </c>
      <c r="H195" s="60" t="s">
        <v>344</v>
      </c>
      <c r="I195" s="60" t="s">
        <v>345</v>
      </c>
      <c r="J195" s="283" t="s">
        <v>289</v>
      </c>
    </row>
    <row r="196" spans="2:10" ht="15" customHeight="1" x14ac:dyDescent="0.3">
      <c r="C196" s="2">
        <v>2021</v>
      </c>
      <c r="E196" s="2">
        <v>87</v>
      </c>
      <c r="F196" s="2">
        <v>71</v>
      </c>
      <c r="G196" s="2">
        <v>21</v>
      </c>
      <c r="H196" s="2">
        <v>330</v>
      </c>
      <c r="I196" s="541">
        <f>SUM(E196:H196)</f>
        <v>509</v>
      </c>
      <c r="J196" s="285">
        <v>8.4000000000000005E-2</v>
      </c>
    </row>
    <row r="197" spans="2:10" ht="15" customHeight="1" x14ac:dyDescent="0.3">
      <c r="C197" s="2">
        <v>2022</v>
      </c>
      <c r="E197" s="2">
        <v>91</v>
      </c>
      <c r="F197" s="2">
        <v>90</v>
      </c>
      <c r="G197" s="2">
        <v>25</v>
      </c>
      <c r="H197" s="2">
        <v>338</v>
      </c>
      <c r="I197" s="541">
        <f t="shared" ref="I197:I209" si="2">SUM(E197:H197)</f>
        <v>544</v>
      </c>
      <c r="J197" s="285">
        <v>8.8999999999999996E-2</v>
      </c>
    </row>
    <row r="198" spans="2:10" ht="15" customHeight="1" x14ac:dyDescent="0.3">
      <c r="C198" s="2">
        <v>2023</v>
      </c>
      <c r="E198" s="2">
        <v>96</v>
      </c>
      <c r="F198" s="2">
        <v>113</v>
      </c>
      <c r="G198" s="2">
        <v>31</v>
      </c>
      <c r="H198" s="2">
        <v>347</v>
      </c>
      <c r="I198" s="541">
        <f t="shared" si="2"/>
        <v>587</v>
      </c>
      <c r="J198" s="285">
        <v>9.5000000000000001E-2</v>
      </c>
    </row>
    <row r="199" spans="2:10" ht="15" customHeight="1" x14ac:dyDescent="0.3">
      <c r="C199" s="2">
        <v>2024</v>
      </c>
      <c r="E199" s="2">
        <v>101</v>
      </c>
      <c r="F199" s="2">
        <v>143</v>
      </c>
      <c r="G199" s="2">
        <v>37</v>
      </c>
      <c r="H199" s="2">
        <v>358</v>
      </c>
      <c r="I199" s="541">
        <f t="shared" si="2"/>
        <v>639</v>
      </c>
      <c r="J199" s="285">
        <v>0.10299999999999999</v>
      </c>
    </row>
    <row r="200" spans="2:10" ht="15" customHeight="1" x14ac:dyDescent="0.3">
      <c r="C200" s="2">
        <v>2025</v>
      </c>
      <c r="E200" s="2">
        <v>108</v>
      </c>
      <c r="F200" s="2">
        <v>187</v>
      </c>
      <c r="G200" s="2">
        <v>47</v>
      </c>
      <c r="H200" s="2">
        <v>369</v>
      </c>
      <c r="I200" s="541">
        <f t="shared" si="2"/>
        <v>711</v>
      </c>
      <c r="J200" s="285">
        <v>0.114</v>
      </c>
    </row>
    <row r="201" spans="2:10" ht="15" customHeight="1" x14ac:dyDescent="0.3">
      <c r="C201" s="2">
        <v>2026</v>
      </c>
      <c r="D201"/>
      <c r="E201" s="2">
        <v>115</v>
      </c>
      <c r="F201" s="2">
        <v>233</v>
      </c>
      <c r="G201" s="2">
        <v>58</v>
      </c>
      <c r="H201" s="2">
        <v>382</v>
      </c>
      <c r="I201" s="541">
        <f t="shared" si="2"/>
        <v>788</v>
      </c>
      <c r="J201" s="285">
        <v>0.126</v>
      </c>
    </row>
    <row r="202" spans="2:10" ht="15" customHeight="1" x14ac:dyDescent="0.3">
      <c r="C202" s="2">
        <v>2027</v>
      </c>
      <c r="D202"/>
      <c r="E202" s="2">
        <v>124</v>
      </c>
      <c r="F202" s="2">
        <v>281</v>
      </c>
      <c r="G202" s="2">
        <v>69</v>
      </c>
      <c r="H202" s="2">
        <v>397</v>
      </c>
      <c r="I202" s="541">
        <f t="shared" si="2"/>
        <v>871</v>
      </c>
      <c r="J202" s="285">
        <v>0.13800000000000001</v>
      </c>
    </row>
    <row r="203" spans="2:10" ht="15" customHeight="1" x14ac:dyDescent="0.3">
      <c r="C203" s="2">
        <v>2028</v>
      </c>
      <c r="E203" s="2">
        <v>133</v>
      </c>
      <c r="F203" s="2">
        <v>331</v>
      </c>
      <c r="G203" s="2">
        <v>80</v>
      </c>
      <c r="H203" s="2">
        <v>412</v>
      </c>
      <c r="I203" s="541">
        <f t="shared" si="2"/>
        <v>956</v>
      </c>
      <c r="J203" s="285">
        <v>0.151</v>
      </c>
    </row>
    <row r="204" spans="2:10" ht="15" customHeight="1" x14ac:dyDescent="0.3">
      <c r="C204" s="2">
        <v>2029</v>
      </c>
      <c r="E204" s="2">
        <v>144</v>
      </c>
      <c r="F204" s="2">
        <v>383</v>
      </c>
      <c r="G204" s="2">
        <v>91</v>
      </c>
      <c r="H204" s="2">
        <v>429</v>
      </c>
      <c r="I204" s="541">
        <f t="shared" si="2"/>
        <v>1047</v>
      </c>
      <c r="J204" s="285">
        <v>0.16500000000000001</v>
      </c>
    </row>
    <row r="205" spans="2:10" ht="15" customHeight="1" x14ac:dyDescent="0.3">
      <c r="C205" s="2">
        <v>2030</v>
      </c>
      <c r="E205" s="2">
        <v>155</v>
      </c>
      <c r="F205" s="2">
        <v>437</v>
      </c>
      <c r="G205" s="2">
        <v>103</v>
      </c>
      <c r="H205" s="2">
        <v>447</v>
      </c>
      <c r="I205" s="541">
        <f t="shared" si="2"/>
        <v>1142</v>
      </c>
      <c r="J205" s="285">
        <v>0.17899999999999999</v>
      </c>
    </row>
    <row r="206" spans="2:10" ht="15" customHeight="1" x14ac:dyDescent="0.3">
      <c r="C206" s="2">
        <v>2031</v>
      </c>
      <c r="E206" s="2">
        <v>168</v>
      </c>
      <c r="F206" s="2">
        <v>494</v>
      </c>
      <c r="G206" s="2">
        <v>115</v>
      </c>
      <c r="H206" s="2">
        <v>467</v>
      </c>
      <c r="I206" s="541">
        <f t="shared" si="2"/>
        <v>1244</v>
      </c>
      <c r="J206" s="285">
        <v>0.193</v>
      </c>
    </row>
    <row r="207" spans="2:10" ht="15" customHeight="1" x14ac:dyDescent="0.3">
      <c r="C207" s="2">
        <v>2032</v>
      </c>
      <c r="E207" s="2">
        <v>182</v>
      </c>
      <c r="F207" s="2">
        <v>552</v>
      </c>
      <c r="G207" s="2">
        <v>127</v>
      </c>
      <c r="H207" s="2">
        <v>488</v>
      </c>
      <c r="I207" s="541">
        <f t="shared" si="2"/>
        <v>1349</v>
      </c>
      <c r="J207" s="285">
        <v>0.20799999999999999</v>
      </c>
    </row>
    <row r="208" spans="2:10" ht="15" customHeight="1" x14ac:dyDescent="0.3">
      <c r="C208" s="2">
        <v>2033</v>
      </c>
      <c r="E208" s="2">
        <v>196</v>
      </c>
      <c r="F208" s="2">
        <v>613</v>
      </c>
      <c r="G208" s="2">
        <v>140</v>
      </c>
      <c r="H208" s="2">
        <v>510</v>
      </c>
      <c r="I208" s="541">
        <f t="shared" si="2"/>
        <v>1459</v>
      </c>
      <c r="J208" s="285">
        <v>0.224</v>
      </c>
    </row>
    <row r="209" spans="2:19" ht="15" customHeight="1" x14ac:dyDescent="0.3">
      <c r="C209" s="2">
        <v>2034</v>
      </c>
      <c r="E209" s="2">
        <v>212</v>
      </c>
      <c r="F209" s="2">
        <v>676</v>
      </c>
      <c r="G209" s="2">
        <v>152</v>
      </c>
      <c r="H209" s="2">
        <v>534</v>
      </c>
      <c r="I209" s="541">
        <f t="shared" si="2"/>
        <v>1574</v>
      </c>
      <c r="J209" s="285">
        <v>0.23899999999999999</v>
      </c>
    </row>
    <row r="210" spans="2:19" ht="15" customHeight="1" x14ac:dyDescent="0.3">
      <c r="C210" s="2">
        <v>2035</v>
      </c>
      <c r="E210" s="2">
        <v>228</v>
      </c>
      <c r="F210" s="2">
        <v>742</v>
      </c>
      <c r="G210" s="2">
        <v>165</v>
      </c>
      <c r="H210" s="2">
        <v>559</v>
      </c>
      <c r="I210" s="541">
        <f>SUM(E210:H210)</f>
        <v>1694</v>
      </c>
      <c r="J210" s="285">
        <v>0.255</v>
      </c>
    </row>
    <row r="211" spans="2:19" ht="15" customHeight="1" x14ac:dyDescent="0.3">
      <c r="E211" s="165"/>
      <c r="F211" s="165"/>
      <c r="G211" s="165"/>
      <c r="H211" s="165"/>
      <c r="I211" s="542"/>
      <c r="J211" s="543"/>
    </row>
    <row r="212" spans="2:19" x14ac:dyDescent="0.3">
      <c r="B212" s="544" t="s">
        <v>346</v>
      </c>
    </row>
    <row r="213" spans="2:19" x14ac:dyDescent="0.3">
      <c r="B213" s="544" t="s">
        <v>347</v>
      </c>
    </row>
    <row r="214" spans="2:19" x14ac:dyDescent="0.3">
      <c r="B214" s="158"/>
    </row>
    <row r="215" spans="2:19" x14ac:dyDescent="0.3">
      <c r="B215" s="158"/>
    </row>
    <row r="216" spans="2:19" ht="15" customHeight="1" x14ac:dyDescent="0.3">
      <c r="B216" s="462" t="s">
        <v>348</v>
      </c>
      <c r="C216" s="460"/>
      <c r="D216" s="460"/>
      <c r="E216" s="460"/>
      <c r="F216" s="460"/>
      <c r="G216" s="460"/>
      <c r="H216" s="460"/>
      <c r="I216" s="461"/>
      <c r="J216" s="59"/>
      <c r="S216" s="24"/>
    </row>
    <row r="217" spans="2:19" ht="15" customHeight="1" thickBot="1" x14ac:dyDescent="0.35">
      <c r="C217"/>
      <c r="D217"/>
    </row>
    <row r="218" spans="2:19" ht="15" customHeight="1" thickBot="1" x14ac:dyDescent="0.35">
      <c r="B218" s="175"/>
      <c r="C218" s="545" t="s">
        <v>257</v>
      </c>
      <c r="D218" s="546" t="s">
        <v>258</v>
      </c>
      <c r="F218" s="464" t="s">
        <v>259</v>
      </c>
      <c r="G218" s="465"/>
      <c r="H218" s="466"/>
      <c r="I218" s="465"/>
      <c r="J218" s="467"/>
    </row>
    <row r="219" spans="2:19" ht="15" customHeight="1" x14ac:dyDescent="0.3">
      <c r="B219" s="468" t="s">
        <v>349</v>
      </c>
      <c r="C219" s="547">
        <v>5.8</v>
      </c>
      <c r="D219" s="470" t="s">
        <v>321</v>
      </c>
      <c r="F219" s="471" t="s">
        <v>322</v>
      </c>
      <c r="G219" s="472"/>
      <c r="H219" s="444"/>
      <c r="I219" s="472"/>
      <c r="J219" s="473"/>
    </row>
    <row r="220" spans="2:19" ht="15" customHeight="1" x14ac:dyDescent="0.3">
      <c r="B220" s="474" t="s">
        <v>323</v>
      </c>
      <c r="C220" s="548">
        <v>0.01</v>
      </c>
      <c r="D220" s="476" t="s">
        <v>324</v>
      </c>
      <c r="F220" s="471" t="s">
        <v>325</v>
      </c>
      <c r="G220" s="472"/>
      <c r="H220" s="444"/>
      <c r="I220" s="472"/>
      <c r="J220" s="473"/>
    </row>
    <row r="221" spans="2:19" ht="15" customHeight="1" x14ac:dyDescent="0.3">
      <c r="B221" s="474" t="s">
        <v>326</v>
      </c>
      <c r="C221" s="549">
        <v>17000</v>
      </c>
      <c r="D221" s="708" t="s">
        <v>350</v>
      </c>
      <c r="F221" s="504" t="s">
        <v>351</v>
      </c>
      <c r="G221" s="444"/>
      <c r="H221" s="444"/>
      <c r="I221" s="444"/>
      <c r="J221" s="523"/>
    </row>
    <row r="222" spans="2:19" ht="15" customHeight="1" x14ac:dyDescent="0.3">
      <c r="B222" s="474" t="s">
        <v>329</v>
      </c>
      <c r="C222" s="549">
        <v>25500</v>
      </c>
      <c r="D222" s="708" t="s">
        <v>352</v>
      </c>
      <c r="F222" s="504" t="s">
        <v>328</v>
      </c>
      <c r="G222" s="472"/>
      <c r="H222" s="444"/>
      <c r="I222" s="472"/>
      <c r="J222" s="473"/>
    </row>
    <row r="223" spans="2:19" ht="15" customHeight="1" thickBot="1" x14ac:dyDescent="0.35">
      <c r="B223" s="478" t="s">
        <v>332</v>
      </c>
      <c r="C223" s="550">
        <v>1600</v>
      </c>
      <c r="D223" s="709" t="s">
        <v>353</v>
      </c>
      <c r="F223" s="504" t="s">
        <v>354</v>
      </c>
      <c r="G223" s="444"/>
      <c r="H223" s="444"/>
      <c r="I223" s="444"/>
      <c r="J223" s="523"/>
    </row>
    <row r="224" spans="2:19" ht="15" customHeight="1" thickBot="1" x14ac:dyDescent="0.35">
      <c r="B224" s="175"/>
      <c r="F224" s="504" t="s">
        <v>355</v>
      </c>
      <c r="G224" s="444"/>
      <c r="H224" s="444"/>
      <c r="I224" s="444"/>
      <c r="J224" s="523"/>
    </row>
    <row r="225" spans="2:10" ht="15" customHeight="1" x14ac:dyDescent="0.3">
      <c r="B225" s="175"/>
      <c r="F225" s="464" t="s">
        <v>274</v>
      </c>
      <c r="G225" s="465"/>
      <c r="H225" s="524"/>
      <c r="I225" s="465"/>
      <c r="J225" s="467"/>
    </row>
    <row r="226" spans="2:10" ht="15" customHeight="1" x14ac:dyDescent="0.3">
      <c r="B226" s="175"/>
      <c r="F226" s="485" t="s">
        <v>275</v>
      </c>
      <c r="G226" s="486" t="s">
        <v>334</v>
      </c>
      <c r="H226" s="487"/>
      <c r="I226" s="472"/>
      <c r="J226" s="473"/>
    </row>
    <row r="227" spans="2:10" ht="15" customHeight="1" x14ac:dyDescent="0.3">
      <c r="B227" s="175"/>
      <c r="F227" s="485" t="s">
        <v>280</v>
      </c>
      <c r="G227" s="488" t="s">
        <v>335</v>
      </c>
      <c r="H227" s="487"/>
      <c r="I227" s="472"/>
      <c r="J227" s="473"/>
    </row>
    <row r="228" spans="2:10" ht="15" customHeight="1" x14ac:dyDescent="0.3">
      <c r="B228" s="175"/>
      <c r="F228" s="525" t="s">
        <v>336</v>
      </c>
      <c r="G228" s="526"/>
      <c r="H228" s="527"/>
      <c r="I228" s="528"/>
      <c r="J228" s="529"/>
    </row>
    <row r="229" spans="2:10" ht="15" customHeight="1" x14ac:dyDescent="0.3">
      <c r="B229" s="175"/>
      <c r="F229" s="471" t="s">
        <v>275</v>
      </c>
      <c r="G229" s="530" t="s">
        <v>356</v>
      </c>
      <c r="H229" s="531"/>
      <c r="I229" s="532"/>
      <c r="J229" s="533"/>
    </row>
    <row r="230" spans="2:10" ht="15" customHeight="1" x14ac:dyDescent="0.3">
      <c r="B230" s="175"/>
      <c r="F230" s="534" t="s">
        <v>280</v>
      </c>
      <c r="G230" s="530" t="s">
        <v>338</v>
      </c>
      <c r="H230" s="531"/>
      <c r="I230" s="532"/>
      <c r="J230" s="533"/>
    </row>
    <row r="231" spans="2:10" ht="15" customHeight="1" thickBot="1" x14ac:dyDescent="0.35">
      <c r="B231" s="175"/>
      <c r="F231" s="534"/>
      <c r="G231" s="536" t="s">
        <v>357</v>
      </c>
      <c r="H231" s="531"/>
      <c r="I231" s="532"/>
      <c r="J231" s="533"/>
    </row>
    <row r="232" spans="2:10" ht="15" customHeight="1" thickBot="1" x14ac:dyDescent="0.35">
      <c r="B232" s="175"/>
      <c r="F232" s="535" t="s">
        <v>339</v>
      </c>
      <c r="G232" s="536" t="s">
        <v>340</v>
      </c>
      <c r="H232" s="537"/>
      <c r="I232" s="538"/>
      <c r="J232" s="539"/>
    </row>
    <row r="233" spans="2:10" ht="15" customHeight="1" x14ac:dyDescent="0.3">
      <c r="B233" s="175"/>
      <c r="F233" s="551"/>
      <c r="G233" s="552"/>
      <c r="H233" s="553"/>
      <c r="I233" s="13"/>
      <c r="J233" s="13"/>
    </row>
    <row r="234" spans="2:10" ht="15" customHeight="1" x14ac:dyDescent="0.3">
      <c r="B234" s="175"/>
      <c r="C234" s="291"/>
    </row>
    <row r="235" spans="2:10" ht="28.8" x14ac:dyDescent="0.3">
      <c r="B235" s="59" t="s">
        <v>298</v>
      </c>
      <c r="C235" s="52" t="s">
        <v>245</v>
      </c>
      <c r="D235" s="60"/>
      <c r="E235" s="60" t="s">
        <v>341</v>
      </c>
      <c r="F235" s="60" t="s">
        <v>342</v>
      </c>
      <c r="G235" s="60" t="s">
        <v>343</v>
      </c>
      <c r="H235" s="60" t="s">
        <v>344</v>
      </c>
      <c r="I235" s="60" t="s">
        <v>345</v>
      </c>
      <c r="J235" s="283" t="s">
        <v>289</v>
      </c>
    </row>
    <row r="236" spans="2:10" ht="15" customHeight="1" x14ac:dyDescent="0.3">
      <c r="C236" s="2">
        <v>2021</v>
      </c>
      <c r="E236" s="554">
        <v>6</v>
      </c>
      <c r="F236" s="554">
        <v>2</v>
      </c>
      <c r="G236" s="554">
        <v>1</v>
      </c>
      <c r="H236" s="554">
        <v>22</v>
      </c>
      <c r="I236" s="541">
        <f>SUM(E236:H236)</f>
        <v>31</v>
      </c>
      <c r="J236" s="555">
        <v>3.9E-2</v>
      </c>
    </row>
    <row r="237" spans="2:10" ht="15" customHeight="1" x14ac:dyDescent="0.3">
      <c r="C237" s="2">
        <v>2022</v>
      </c>
      <c r="E237" s="554">
        <v>6</v>
      </c>
      <c r="F237" s="554">
        <v>6</v>
      </c>
      <c r="G237" s="554">
        <v>2</v>
      </c>
      <c r="H237" s="554">
        <v>24</v>
      </c>
      <c r="I237" s="541">
        <f t="shared" ref="I237:I250" si="3">SUM(E237:H237)</f>
        <v>38</v>
      </c>
      <c r="J237" s="555">
        <v>4.9000000000000002E-2</v>
      </c>
    </row>
    <row r="238" spans="2:10" ht="15" customHeight="1" x14ac:dyDescent="0.3">
      <c r="C238" s="2">
        <v>2023</v>
      </c>
      <c r="E238" s="554">
        <v>7</v>
      </c>
      <c r="F238" s="554">
        <v>11</v>
      </c>
      <c r="G238" s="554">
        <v>3</v>
      </c>
      <c r="H238" s="554">
        <v>26</v>
      </c>
      <c r="I238" s="541">
        <f t="shared" si="3"/>
        <v>47</v>
      </c>
      <c r="J238" s="555">
        <v>0.06</v>
      </c>
    </row>
    <row r="239" spans="2:10" ht="15" customHeight="1" x14ac:dyDescent="0.3">
      <c r="C239" s="2">
        <v>2024</v>
      </c>
      <c r="E239" s="554">
        <v>8</v>
      </c>
      <c r="F239" s="554">
        <v>17</v>
      </c>
      <c r="G239" s="554">
        <v>4</v>
      </c>
      <c r="H239" s="554">
        <v>29</v>
      </c>
      <c r="I239" s="541">
        <f t="shared" si="3"/>
        <v>58</v>
      </c>
      <c r="J239" s="555">
        <v>7.3999999999999996E-2</v>
      </c>
    </row>
    <row r="240" spans="2:10" ht="15" customHeight="1" x14ac:dyDescent="0.3">
      <c r="C240" s="2">
        <v>2025</v>
      </c>
      <c r="E240" s="554">
        <v>9</v>
      </c>
      <c r="F240" s="554">
        <v>23</v>
      </c>
      <c r="G240" s="554">
        <v>5</v>
      </c>
      <c r="H240" s="554">
        <v>33</v>
      </c>
      <c r="I240" s="541">
        <f t="shared" si="3"/>
        <v>70</v>
      </c>
      <c r="J240" s="555">
        <v>8.8999999999999996E-2</v>
      </c>
    </row>
    <row r="241" spans="2:19" ht="15" customHeight="1" x14ac:dyDescent="0.3">
      <c r="C241" s="2">
        <v>2026</v>
      </c>
      <c r="D241"/>
      <c r="E241" s="554">
        <v>10</v>
      </c>
      <c r="F241" s="554">
        <v>30</v>
      </c>
      <c r="G241" s="554">
        <v>7</v>
      </c>
      <c r="H241" s="554">
        <v>36</v>
      </c>
      <c r="I241" s="541">
        <f t="shared" si="3"/>
        <v>83</v>
      </c>
      <c r="J241" s="555">
        <v>0.107</v>
      </c>
    </row>
    <row r="242" spans="2:19" ht="15" customHeight="1" x14ac:dyDescent="0.3">
      <c r="C242" s="2">
        <v>2027</v>
      </c>
      <c r="D242"/>
      <c r="E242" s="554">
        <v>11</v>
      </c>
      <c r="F242" s="554">
        <v>37</v>
      </c>
      <c r="G242" s="554">
        <v>8</v>
      </c>
      <c r="H242" s="554">
        <v>41</v>
      </c>
      <c r="I242" s="541">
        <f t="shared" si="3"/>
        <v>97</v>
      </c>
      <c r="J242" s="555">
        <v>0.126</v>
      </c>
    </row>
    <row r="243" spans="2:19" ht="15" customHeight="1" x14ac:dyDescent="0.3">
      <c r="C243" s="2">
        <v>2028</v>
      </c>
      <c r="E243" s="554">
        <v>13</v>
      </c>
      <c r="F243" s="554">
        <v>45</v>
      </c>
      <c r="G243" s="554">
        <v>10</v>
      </c>
      <c r="H243" s="554">
        <v>46</v>
      </c>
      <c r="I243" s="541">
        <f t="shared" si="3"/>
        <v>114</v>
      </c>
      <c r="J243" s="555">
        <v>0.14599999999999999</v>
      </c>
    </row>
    <row r="244" spans="2:19" ht="15" customHeight="1" x14ac:dyDescent="0.3">
      <c r="C244" s="2">
        <v>2029</v>
      </c>
      <c r="E244" s="554">
        <v>15</v>
      </c>
      <c r="F244" s="554">
        <v>53</v>
      </c>
      <c r="G244" s="554">
        <v>11</v>
      </c>
      <c r="H244" s="554">
        <v>51</v>
      </c>
      <c r="I244" s="541">
        <f t="shared" si="3"/>
        <v>130</v>
      </c>
      <c r="J244" s="555">
        <v>0.16900000000000001</v>
      </c>
    </row>
    <row r="245" spans="2:19" ht="15" customHeight="1" x14ac:dyDescent="0.3">
      <c r="C245" s="2">
        <v>2030</v>
      </c>
      <c r="E245" s="554">
        <v>16</v>
      </c>
      <c r="F245" s="554">
        <v>62</v>
      </c>
      <c r="G245" s="554">
        <v>13</v>
      </c>
      <c r="H245" s="554">
        <v>55</v>
      </c>
      <c r="I245" s="541">
        <f t="shared" si="3"/>
        <v>146</v>
      </c>
      <c r="J245" s="555">
        <v>0.191</v>
      </c>
    </row>
    <row r="246" spans="2:19" ht="15" customHeight="1" x14ac:dyDescent="0.3">
      <c r="C246" s="2">
        <v>2031</v>
      </c>
      <c r="E246" s="554">
        <v>18</v>
      </c>
      <c r="F246" s="554">
        <v>70</v>
      </c>
      <c r="G246" s="554">
        <v>15</v>
      </c>
      <c r="H246" s="554">
        <v>60</v>
      </c>
      <c r="I246" s="541">
        <f t="shared" si="3"/>
        <v>163</v>
      </c>
      <c r="J246" s="555">
        <v>0.21299999999999999</v>
      </c>
    </row>
    <row r="247" spans="2:19" ht="15" customHeight="1" x14ac:dyDescent="0.3">
      <c r="C247" s="2">
        <v>2032</v>
      </c>
      <c r="E247" s="554">
        <v>20</v>
      </c>
      <c r="F247" s="554">
        <v>79</v>
      </c>
      <c r="G247" s="554">
        <v>17</v>
      </c>
      <c r="H247" s="554">
        <v>64</v>
      </c>
      <c r="I247" s="541">
        <f t="shared" si="3"/>
        <v>180</v>
      </c>
      <c r="J247" s="555">
        <v>0.23599999999999999</v>
      </c>
    </row>
    <row r="248" spans="2:19" ht="15" customHeight="1" x14ac:dyDescent="0.3">
      <c r="C248" s="2">
        <v>2033</v>
      </c>
      <c r="E248" s="554">
        <v>23</v>
      </c>
      <c r="F248" s="554">
        <v>88</v>
      </c>
      <c r="G248" s="554">
        <v>19</v>
      </c>
      <c r="H248" s="554">
        <v>69</v>
      </c>
      <c r="I248" s="541">
        <f t="shared" si="3"/>
        <v>199</v>
      </c>
      <c r="J248" s="555">
        <v>0.25900000000000001</v>
      </c>
    </row>
    <row r="249" spans="2:19" ht="15" customHeight="1" x14ac:dyDescent="0.3">
      <c r="C249" s="2">
        <v>2034</v>
      </c>
      <c r="E249" s="554">
        <v>25</v>
      </c>
      <c r="F249" s="554">
        <v>97</v>
      </c>
      <c r="G249" s="554">
        <v>21</v>
      </c>
      <c r="H249" s="554">
        <v>73</v>
      </c>
      <c r="I249" s="541">
        <f t="shared" si="3"/>
        <v>216</v>
      </c>
      <c r="J249" s="555">
        <v>0.28299999999999997</v>
      </c>
    </row>
    <row r="250" spans="2:19" ht="15" customHeight="1" x14ac:dyDescent="0.3">
      <c r="C250" s="2">
        <v>2035</v>
      </c>
      <c r="E250" s="554">
        <v>27</v>
      </c>
      <c r="F250" s="554">
        <v>106</v>
      </c>
      <c r="G250" s="554">
        <v>23</v>
      </c>
      <c r="H250" s="554">
        <v>76</v>
      </c>
      <c r="I250" s="541">
        <f t="shared" si="3"/>
        <v>232</v>
      </c>
      <c r="J250" s="555">
        <v>0.30599999999999999</v>
      </c>
    </row>
    <row r="252" spans="2:19" ht="15" customHeight="1" x14ac:dyDescent="0.35">
      <c r="B252" s="459" t="s">
        <v>358</v>
      </c>
      <c r="C252" s="460"/>
      <c r="D252" s="460"/>
      <c r="E252" s="460"/>
      <c r="F252" s="461"/>
      <c r="G252" s="460"/>
      <c r="H252" s="460"/>
      <c r="I252" s="461"/>
      <c r="J252" s="59"/>
      <c r="K252" s="59"/>
      <c r="S252" s="24"/>
    </row>
    <row r="253" spans="2:19" ht="18.600000000000001" thickBot="1" x14ac:dyDescent="0.4">
      <c r="B253" s="159"/>
    </row>
    <row r="254" spans="2:19" x14ac:dyDescent="0.3">
      <c r="B254" s="464" t="s">
        <v>259</v>
      </c>
      <c r="C254" s="465"/>
      <c r="D254" s="466"/>
      <c r="E254" s="465"/>
      <c r="F254" s="465"/>
      <c r="G254" s="467"/>
    </row>
    <row r="255" spans="2:19" x14ac:dyDescent="0.3">
      <c r="B255" s="556" t="s">
        <v>359</v>
      </c>
      <c r="C255" s="557"/>
      <c r="D255" s="558"/>
      <c r="E255" s="557"/>
      <c r="F255" s="557"/>
      <c r="G255" s="559"/>
    </row>
    <row r="256" spans="2:19" x14ac:dyDescent="0.3">
      <c r="B256" s="556" t="s">
        <v>360</v>
      </c>
      <c r="C256" s="557"/>
      <c r="D256" s="558"/>
      <c r="E256" s="557"/>
      <c r="F256" s="557"/>
      <c r="G256" s="559"/>
    </row>
    <row r="257" spans="2:9" x14ac:dyDescent="0.3">
      <c r="B257" s="556" t="s">
        <v>361</v>
      </c>
      <c r="C257" s="557"/>
      <c r="D257" s="558"/>
      <c r="E257" s="557"/>
      <c r="F257" s="557"/>
      <c r="G257" s="559"/>
    </row>
    <row r="258" spans="2:9" x14ac:dyDescent="0.3">
      <c r="B258" s="556" t="s">
        <v>362</v>
      </c>
      <c r="C258" s="557"/>
      <c r="D258" s="558"/>
      <c r="E258" s="557"/>
      <c r="F258" s="557"/>
      <c r="G258" s="559"/>
    </row>
    <row r="259" spans="2:9" x14ac:dyDescent="0.3">
      <c r="B259" s="556" t="s">
        <v>363</v>
      </c>
      <c r="C259" s="560"/>
      <c r="D259" s="558"/>
      <c r="E259" s="557"/>
      <c r="F259" s="557"/>
      <c r="G259" s="559"/>
    </row>
    <row r="260" spans="2:9" x14ac:dyDescent="0.3">
      <c r="B260" s="556" t="s">
        <v>364</v>
      </c>
      <c r="C260" s="560"/>
      <c r="D260" s="558"/>
      <c r="E260" s="557"/>
      <c r="F260" s="557"/>
      <c r="G260" s="559"/>
    </row>
    <row r="261" spans="2:9" x14ac:dyDescent="0.3">
      <c r="B261" s="561" t="s">
        <v>365</v>
      </c>
      <c r="C261" s="560"/>
      <c r="D261" s="558"/>
      <c r="E261" s="557"/>
      <c r="F261" s="557"/>
      <c r="G261" s="559"/>
    </row>
    <row r="262" spans="2:9" x14ac:dyDescent="0.3">
      <c r="B262" s="556" t="s">
        <v>366</v>
      </c>
      <c r="C262" s="560"/>
      <c r="D262" s="558"/>
      <c r="E262" s="557"/>
      <c r="F262" s="557"/>
      <c r="G262" s="559"/>
    </row>
    <row r="263" spans="2:9" x14ac:dyDescent="0.3">
      <c r="B263" s="556" t="s">
        <v>367</v>
      </c>
      <c r="C263" s="560"/>
      <c r="D263" s="558"/>
      <c r="E263" s="557"/>
      <c r="F263" s="557"/>
      <c r="G263" s="559"/>
    </row>
    <row r="264" spans="2:9" ht="15" thickBot="1" x14ac:dyDescent="0.35">
      <c r="B264" s="562"/>
      <c r="C264" s="563"/>
      <c r="D264" s="564"/>
      <c r="E264" s="565"/>
      <c r="F264" s="565"/>
      <c r="G264" s="566"/>
    </row>
    <row r="265" spans="2:9" ht="18" x14ac:dyDescent="0.35">
      <c r="B265" s="159"/>
    </row>
    <row r="267" spans="2:9" x14ac:dyDescent="0.3">
      <c r="B267" s="110" t="s">
        <v>368</v>
      </c>
    </row>
    <row r="268" spans="2:9" x14ac:dyDescent="0.3">
      <c r="E268" s="1023" t="s">
        <v>369</v>
      </c>
      <c r="F268" s="1023"/>
    </row>
    <row r="269" spans="2:9" x14ac:dyDescent="0.3">
      <c r="B269" s="59" t="s">
        <v>244</v>
      </c>
      <c r="C269" s="52" t="s">
        <v>245</v>
      </c>
      <c r="D269" s="60"/>
      <c r="E269" s="60" t="s">
        <v>370</v>
      </c>
      <c r="F269" s="60" t="s">
        <v>371</v>
      </c>
      <c r="I269" s="150"/>
    </row>
    <row r="270" spans="2:9" x14ac:dyDescent="0.3">
      <c r="C270" s="2">
        <v>2021</v>
      </c>
      <c r="E270" s="567">
        <v>0</v>
      </c>
      <c r="F270" s="567">
        <v>0</v>
      </c>
      <c r="G270" s="165"/>
      <c r="H270" s="165">
        <f>F270-E270</f>
        <v>0</v>
      </c>
      <c r="I270" s="543"/>
    </row>
    <row r="271" spans="2:9" x14ac:dyDescent="0.3">
      <c r="C271" s="2">
        <v>2022</v>
      </c>
      <c r="E271" s="567">
        <v>0</v>
      </c>
      <c r="F271" s="567">
        <v>0</v>
      </c>
      <c r="G271" s="165"/>
      <c r="H271" s="165">
        <f t="shared" ref="H271:H284" si="4">F271-E271</f>
        <v>0</v>
      </c>
      <c r="I271" s="543"/>
    </row>
    <row r="272" spans="2:9" x14ac:dyDescent="0.3">
      <c r="C272" s="2">
        <v>2023</v>
      </c>
      <c r="E272" s="567">
        <v>0</v>
      </c>
      <c r="F272" s="567">
        <v>1.1000000000000001</v>
      </c>
      <c r="G272" s="165"/>
      <c r="H272" s="165">
        <f t="shared" si="4"/>
        <v>1.1000000000000001</v>
      </c>
      <c r="I272" s="543"/>
    </row>
    <row r="273" spans="2:19" x14ac:dyDescent="0.3">
      <c r="C273" s="2">
        <v>2024</v>
      </c>
      <c r="E273" s="567">
        <v>0</v>
      </c>
      <c r="F273" s="567">
        <v>2.1</v>
      </c>
      <c r="G273" s="165"/>
      <c r="H273" s="165">
        <f t="shared" si="4"/>
        <v>2.1</v>
      </c>
      <c r="I273" s="543"/>
      <c r="P273" s="24"/>
    </row>
    <row r="274" spans="2:19" x14ac:dyDescent="0.3">
      <c r="C274" s="2">
        <v>2025</v>
      </c>
      <c r="E274" s="567">
        <v>0</v>
      </c>
      <c r="F274" s="567">
        <v>3.8</v>
      </c>
      <c r="G274" s="165"/>
      <c r="H274" s="165">
        <f t="shared" si="4"/>
        <v>3.8</v>
      </c>
      <c r="I274" s="543"/>
    </row>
    <row r="275" spans="2:19" x14ac:dyDescent="0.3">
      <c r="C275" s="2">
        <v>2026</v>
      </c>
      <c r="D275"/>
      <c r="E275" s="567">
        <v>0.1</v>
      </c>
      <c r="F275" s="567">
        <v>6.3</v>
      </c>
      <c r="G275" s="165"/>
      <c r="H275" s="165">
        <f t="shared" si="4"/>
        <v>6.2</v>
      </c>
      <c r="I275" s="543"/>
    </row>
    <row r="276" spans="2:19" x14ac:dyDescent="0.3">
      <c r="C276" s="2">
        <v>2027</v>
      </c>
      <c r="D276"/>
      <c r="E276" s="567">
        <v>0.4</v>
      </c>
      <c r="F276" s="567">
        <v>9.5</v>
      </c>
      <c r="G276" s="165"/>
      <c r="H276" s="165">
        <f t="shared" si="4"/>
        <v>9.1</v>
      </c>
      <c r="I276" s="543"/>
    </row>
    <row r="277" spans="2:19" x14ac:dyDescent="0.3">
      <c r="C277" s="2">
        <v>2028</v>
      </c>
      <c r="E277" s="567">
        <v>2.4</v>
      </c>
      <c r="F277" s="567">
        <v>12.8</v>
      </c>
      <c r="G277" s="165"/>
      <c r="H277" s="165">
        <f t="shared" si="4"/>
        <v>10.4</v>
      </c>
      <c r="I277" s="543"/>
    </row>
    <row r="278" spans="2:19" x14ac:dyDescent="0.3">
      <c r="C278" s="2">
        <v>2029</v>
      </c>
      <c r="E278" s="567">
        <v>6</v>
      </c>
      <c r="F278" s="567">
        <v>16</v>
      </c>
      <c r="G278" s="165"/>
      <c r="H278" s="165">
        <f t="shared" si="4"/>
        <v>10</v>
      </c>
      <c r="I278" s="543"/>
    </row>
    <row r="279" spans="2:19" x14ac:dyDescent="0.3">
      <c r="C279" s="2">
        <v>2030</v>
      </c>
      <c r="E279" s="568">
        <v>9</v>
      </c>
      <c r="F279" s="568">
        <v>19.100000000000001</v>
      </c>
      <c r="G279" s="165"/>
      <c r="H279" s="165">
        <f t="shared" si="4"/>
        <v>10.100000000000001</v>
      </c>
      <c r="I279" s="543"/>
    </row>
    <row r="280" spans="2:19" x14ac:dyDescent="0.3">
      <c r="C280" s="2">
        <v>2031</v>
      </c>
      <c r="E280" s="567">
        <v>10.6</v>
      </c>
      <c r="F280" s="567">
        <v>21.2</v>
      </c>
      <c r="G280" s="165"/>
      <c r="H280" s="165">
        <f t="shared" si="4"/>
        <v>10.6</v>
      </c>
      <c r="I280" s="543"/>
    </row>
    <row r="281" spans="2:19" x14ac:dyDescent="0.3">
      <c r="C281" s="2">
        <v>2032</v>
      </c>
      <c r="E281" s="567">
        <v>11.9</v>
      </c>
      <c r="F281" s="567">
        <v>23.2</v>
      </c>
      <c r="G281" s="165"/>
      <c r="H281" s="165">
        <f t="shared" si="4"/>
        <v>11.299999999999999</v>
      </c>
      <c r="I281" s="543"/>
    </row>
    <row r="282" spans="2:19" x14ac:dyDescent="0.3">
      <c r="C282" s="2">
        <v>2033</v>
      </c>
      <c r="E282" s="567">
        <v>12.8</v>
      </c>
      <c r="F282" s="567">
        <v>25.3</v>
      </c>
      <c r="G282" s="165"/>
      <c r="H282" s="165">
        <f t="shared" si="4"/>
        <v>12.5</v>
      </c>
      <c r="I282" s="543"/>
    </row>
    <row r="283" spans="2:19" x14ac:dyDescent="0.3">
      <c r="C283" s="2">
        <v>2034</v>
      </c>
      <c r="E283" s="567">
        <v>13.4</v>
      </c>
      <c r="F283" s="567">
        <v>27.3</v>
      </c>
      <c r="G283" s="165"/>
      <c r="H283" s="165">
        <f t="shared" si="4"/>
        <v>13.9</v>
      </c>
      <c r="I283" s="543"/>
    </row>
    <row r="284" spans="2:19" x14ac:dyDescent="0.3">
      <c r="C284" s="2">
        <v>2035</v>
      </c>
      <c r="E284" s="568">
        <v>14.5</v>
      </c>
      <c r="F284" s="568">
        <v>29.4</v>
      </c>
      <c r="G284" s="165"/>
      <c r="H284" s="165">
        <f t="shared" si="4"/>
        <v>14.899999999999999</v>
      </c>
      <c r="I284" s="543"/>
    </row>
    <row r="285" spans="2:19" x14ac:dyDescent="0.3">
      <c r="B285" s="158" t="s">
        <v>372</v>
      </c>
      <c r="G285" s="165"/>
      <c r="I285"/>
    </row>
    <row r="286" spans="2:19" x14ac:dyDescent="0.3">
      <c r="G286" s="165"/>
      <c r="I286"/>
    </row>
    <row r="287" spans="2:19" ht="15" customHeight="1" x14ac:dyDescent="0.35">
      <c r="B287" s="459" t="s">
        <v>373</v>
      </c>
      <c r="C287" s="460"/>
      <c r="D287" s="460"/>
      <c r="E287" s="460"/>
      <c r="F287" s="461"/>
      <c r="G287" s="460"/>
      <c r="H287" s="460"/>
      <c r="I287" s="461"/>
      <c r="J287" s="59"/>
      <c r="K287" s="59"/>
      <c r="S287" s="24"/>
    </row>
    <row r="288" spans="2:19" ht="15" thickBot="1" x14ac:dyDescent="0.35">
      <c r="I288"/>
    </row>
    <row r="289" spans="2:16" x14ac:dyDescent="0.3">
      <c r="B289" s="464" t="s">
        <v>259</v>
      </c>
      <c r="C289" s="465"/>
      <c r="D289" s="466"/>
      <c r="E289" s="465"/>
      <c r="F289" s="465"/>
      <c r="G289" s="467"/>
      <c r="I289"/>
    </row>
    <row r="290" spans="2:16" x14ac:dyDescent="0.3">
      <c r="B290" s="556" t="s">
        <v>374</v>
      </c>
      <c r="C290" s="557"/>
      <c r="D290" s="558"/>
      <c r="E290" s="557"/>
      <c r="F290" s="557"/>
      <c r="G290" s="559"/>
      <c r="I290"/>
    </row>
    <row r="291" spans="2:16" x14ac:dyDescent="0.3">
      <c r="B291" s="556" t="s">
        <v>360</v>
      </c>
      <c r="C291" s="557"/>
      <c r="D291" s="558"/>
      <c r="E291" s="557"/>
      <c r="F291" s="557"/>
      <c r="G291" s="559"/>
      <c r="I291"/>
    </row>
    <row r="292" spans="2:16" ht="15" thickBot="1" x14ac:dyDescent="0.35">
      <c r="B292" s="562" t="s">
        <v>375</v>
      </c>
      <c r="C292" s="565"/>
      <c r="D292" s="564"/>
      <c r="E292" s="565"/>
      <c r="F292" s="565"/>
      <c r="G292" s="566"/>
      <c r="I292"/>
    </row>
    <row r="293" spans="2:16" x14ac:dyDescent="0.3">
      <c r="I293"/>
    </row>
    <row r="294" spans="2:16" x14ac:dyDescent="0.3">
      <c r="E294" s="1023" t="s">
        <v>369</v>
      </c>
      <c r="F294" s="1023"/>
      <c r="I294"/>
    </row>
    <row r="295" spans="2:16" x14ac:dyDescent="0.3">
      <c r="B295" s="59" t="s">
        <v>244</v>
      </c>
      <c r="C295" s="52" t="s">
        <v>245</v>
      </c>
      <c r="D295" s="60"/>
      <c r="E295" s="60" t="s">
        <v>376</v>
      </c>
      <c r="F295" s="60" t="s">
        <v>377</v>
      </c>
    </row>
    <row r="296" spans="2:16" x14ac:dyDescent="0.3">
      <c r="C296" s="2">
        <v>2021</v>
      </c>
      <c r="E296" s="567">
        <v>0</v>
      </c>
      <c r="F296" s="567">
        <v>0</v>
      </c>
      <c r="G296" s="165"/>
      <c r="H296" s="165">
        <f>F296-E296</f>
        <v>0</v>
      </c>
      <c r="I296"/>
    </row>
    <row r="297" spans="2:16" x14ac:dyDescent="0.3">
      <c r="C297" s="2">
        <v>2022</v>
      </c>
      <c r="E297" s="567">
        <v>0</v>
      </c>
      <c r="F297" s="567">
        <v>0</v>
      </c>
      <c r="G297" s="165"/>
      <c r="H297" s="165">
        <f t="shared" ref="H297:H309" si="5">F297-E297</f>
        <v>0</v>
      </c>
      <c r="I297"/>
      <c r="P297" s="24"/>
    </row>
    <row r="298" spans="2:16" x14ac:dyDescent="0.3">
      <c r="C298" s="2">
        <v>2023</v>
      </c>
      <c r="E298" s="567">
        <v>0</v>
      </c>
      <c r="F298" s="567">
        <v>0.2</v>
      </c>
      <c r="G298" s="165"/>
      <c r="H298" s="165">
        <f t="shared" si="5"/>
        <v>0.2</v>
      </c>
      <c r="I298"/>
    </row>
    <row r="299" spans="2:16" x14ac:dyDescent="0.3">
      <c r="C299" s="2">
        <v>2024</v>
      </c>
      <c r="E299" s="567">
        <v>0</v>
      </c>
      <c r="F299" s="567">
        <v>0.3</v>
      </c>
      <c r="G299" s="165"/>
      <c r="H299" s="165">
        <f t="shared" si="5"/>
        <v>0.3</v>
      </c>
      <c r="I299"/>
    </row>
    <row r="300" spans="2:16" x14ac:dyDescent="0.3">
      <c r="C300" s="2">
        <v>2025</v>
      </c>
      <c r="E300" s="567">
        <v>0.1</v>
      </c>
      <c r="F300" s="567">
        <v>0.6</v>
      </c>
      <c r="G300" s="165"/>
      <c r="H300" s="165">
        <f t="shared" si="5"/>
        <v>0.5</v>
      </c>
      <c r="I300"/>
    </row>
    <row r="301" spans="2:16" x14ac:dyDescent="0.3">
      <c r="C301" s="2">
        <v>2026</v>
      </c>
      <c r="E301" s="567">
        <v>0.2</v>
      </c>
      <c r="F301" s="567">
        <v>1</v>
      </c>
      <c r="G301" s="165"/>
      <c r="H301" s="165">
        <f t="shared" si="5"/>
        <v>0.8</v>
      </c>
      <c r="I301"/>
    </row>
    <row r="302" spans="2:16" x14ac:dyDescent="0.3">
      <c r="C302" s="2">
        <v>2027</v>
      </c>
      <c r="E302" s="567">
        <v>0.5</v>
      </c>
      <c r="F302" s="567">
        <v>1.5</v>
      </c>
      <c r="G302" s="165"/>
      <c r="H302" s="165">
        <f t="shared" si="5"/>
        <v>1</v>
      </c>
      <c r="I302"/>
    </row>
    <row r="303" spans="2:16" x14ac:dyDescent="0.3">
      <c r="C303" s="2">
        <v>2028</v>
      </c>
      <c r="E303" s="567">
        <v>1</v>
      </c>
      <c r="F303" s="567">
        <v>2</v>
      </c>
      <c r="G303" s="165"/>
      <c r="H303" s="165">
        <f t="shared" si="5"/>
        <v>1</v>
      </c>
      <c r="I303"/>
    </row>
    <row r="304" spans="2:16" x14ac:dyDescent="0.3">
      <c r="C304" s="2">
        <v>2029</v>
      </c>
      <c r="E304" s="567">
        <v>1.5</v>
      </c>
      <c r="F304" s="567">
        <v>2.5</v>
      </c>
      <c r="G304" s="165"/>
      <c r="H304" s="165">
        <f t="shared" si="5"/>
        <v>1</v>
      </c>
      <c r="I304"/>
    </row>
    <row r="305" spans="3:9" x14ac:dyDescent="0.3">
      <c r="C305" s="2">
        <v>2030</v>
      </c>
      <c r="E305" s="567">
        <v>2</v>
      </c>
      <c r="F305" s="567">
        <v>3</v>
      </c>
      <c r="G305" s="165"/>
      <c r="H305" s="165">
        <f t="shared" si="5"/>
        <v>1</v>
      </c>
      <c r="I305"/>
    </row>
    <row r="306" spans="3:9" x14ac:dyDescent="0.3">
      <c r="C306" s="2">
        <v>2031</v>
      </c>
      <c r="E306" s="567">
        <v>2.4</v>
      </c>
      <c r="F306" s="567">
        <v>3.6</v>
      </c>
      <c r="G306" s="165"/>
      <c r="H306" s="165">
        <f t="shared" si="5"/>
        <v>1.2000000000000002</v>
      </c>
      <c r="I306"/>
    </row>
    <row r="307" spans="3:9" x14ac:dyDescent="0.3">
      <c r="C307" s="2">
        <v>2032</v>
      </c>
      <c r="E307" s="567">
        <v>2.8</v>
      </c>
      <c r="F307" s="567">
        <v>4.2</v>
      </c>
      <c r="G307" s="165"/>
      <c r="H307" s="165">
        <f t="shared" si="5"/>
        <v>1.4000000000000004</v>
      </c>
      <c r="I307"/>
    </row>
    <row r="308" spans="3:9" x14ac:dyDescent="0.3">
      <c r="C308" s="2">
        <v>2033</v>
      </c>
      <c r="E308" s="567">
        <v>3.2</v>
      </c>
      <c r="F308" s="567">
        <v>4.8</v>
      </c>
      <c r="G308" s="165"/>
      <c r="H308" s="165">
        <f t="shared" si="5"/>
        <v>1.5999999999999996</v>
      </c>
      <c r="I308"/>
    </row>
    <row r="309" spans="3:9" x14ac:dyDescent="0.3">
      <c r="C309" s="2">
        <v>2034</v>
      </c>
      <c r="E309" s="567">
        <v>3.6</v>
      </c>
      <c r="F309" s="567">
        <v>5.4</v>
      </c>
      <c r="G309" s="165"/>
      <c r="H309" s="165">
        <f t="shared" si="5"/>
        <v>1.8000000000000003</v>
      </c>
      <c r="I309"/>
    </row>
    <row r="310" spans="3:9" x14ac:dyDescent="0.3">
      <c r="C310" s="2">
        <v>2035</v>
      </c>
      <c r="E310" s="567">
        <v>4</v>
      </c>
      <c r="F310" s="567">
        <v>6</v>
      </c>
      <c r="G310" s="165"/>
      <c r="H310" s="165">
        <f>F310-E310</f>
        <v>2</v>
      </c>
      <c r="I310"/>
    </row>
    <row r="311" spans="3:9" x14ac:dyDescent="0.3">
      <c r="G311" s="165"/>
      <c r="I311"/>
    </row>
    <row r="312" spans="3:9" x14ac:dyDescent="0.3">
      <c r="E312" s="458"/>
      <c r="F312" s="704"/>
      <c r="G312" s="165"/>
    </row>
    <row r="317" spans="3:9" x14ac:dyDescent="0.3">
      <c r="G317" s="165"/>
    </row>
    <row r="318" spans="3:9" x14ac:dyDescent="0.3">
      <c r="G318" s="165"/>
    </row>
    <row r="319" spans="3:9" x14ac:dyDescent="0.3">
      <c r="G319" s="165"/>
    </row>
  </sheetData>
  <mergeCells count="7">
    <mergeCell ref="E294:F294"/>
    <mergeCell ref="G16:H16"/>
    <mergeCell ref="L16:P16"/>
    <mergeCell ref="B129:F129"/>
    <mergeCell ref="B158:F158"/>
    <mergeCell ref="B194:F194"/>
    <mergeCell ref="E268:F268"/>
  </mergeCells>
  <hyperlinks>
    <hyperlink ref="G62" r:id="rId1" display="https://lez.brussels/mytax/nl/practical?tab=Agenda"/>
    <hyperlink ref="G58" r:id="rId2" display="https://www.europarl.europa.eu/news/en/press-room/20220603IPR32129/fit-for-55-meps-back-objective-of-zero-emissions-for-cars-and-vans-in-2035"/>
    <hyperlink ref="G59" r:id="rId3" display="https://vanpeteghem.belgium.be/nl/minister-van-peteghem-maakt-van-bedrijfswagens-en-laadpalen-de-hefbomen-naar-een-groener-wagenpark-0"/>
    <hyperlink ref="G60" r:id="rId4" display="https://energiesparen.be/sites/default/files/atoms/files/VR 2021 0511 DOC.1237-1 Visienota VEKP Bijkomende maatregelen.pdf"/>
    <hyperlink ref="G57" r:id="rId5" display="https://www.febiac.be/public/statistics.aspx?FID=23&amp;lang=NL"/>
    <hyperlink ref="G90" r:id="rId6" display="https://www.europarl.europa.eu/news/en/press-room/20220603IPR32129/fit-for-55-meps-back-objective-of-zero-emissions-for-cars-and-vans-in-2035"/>
    <hyperlink ref="G89" r:id="rId7" display="https://www.febiac.be/public/statistics.aspx?FID=23&amp;lang=NL"/>
    <hyperlink ref="G119" r:id="rId8" display="https://traton.com/en/newsroom/press-releases/traton-boosts-e-mobility-investments.html"/>
    <hyperlink ref="G124" r:id="rId9" display="https://energiesparen.be/sites/default/files/atoms/files/VR 2021 0511 DOC.1237-1 Visienota VEKP Bijkomende maatregelen.pdf"/>
    <hyperlink ref="G121" r:id="rId10" display="https://traton.com/en/newsroom/press-releases/press-release-22032021.html"/>
    <hyperlink ref="G122" r:id="rId11" display="https://trucks.cardekho.com/en/news/detail/mercedes-benz-all-eactros-longhaul-in-pictures-1880.html"/>
    <hyperlink ref="G123" r:id="rId12" display="https://www.volvotrucks.com/en-en/about-us/electromobility.html"/>
    <hyperlink ref="G155" r:id="rId13" display="https://www.delijn.be/nl/content/over-de-lijn/toekomst-waarden/elektrificatie/"/>
    <hyperlink ref="G156" r:id="rId14" display="https://pascalsmet.brussels/project/vergroening-brusselse-busvloot/"/>
    <hyperlink ref="G187" r:id="rId15" display="https://statbel.fgov.be/nl/themas/bouwen-wonen/bouwvergunningen"/>
    <hyperlink ref="G188" r:id="rId16" display="https://warmtepomp.ode.be/nl/artikel/1340/verplichting-elektrische-warmtepomp-bij-nieuwbouw-vervroegd-naar-2025"/>
    <hyperlink ref="G226" r:id="rId17" display="https://statbel.fgov.be/nl/themas/bouwen-wonen/bouwvergunningen"/>
    <hyperlink ref="G227" r:id="rId18" display="https://warmtepomp.ode.be/nl/artikel/1340/verplichting-elektrische-warmtepomp-bij-nieuwbouw-vervroegd-naar-2025"/>
    <hyperlink ref="C8" r:id="rId19" display="https://www.plan.be/publications/publication-2259-fr-perspectives_economiques_2022_2027_version_de_juin_2022"/>
    <hyperlink ref="B5" r:id="rId20"/>
    <hyperlink ref="G231" r:id="rId21" location="q-c36a3be5-31d6-47f4-9618-6d0e928ce3fb" display="https://www.vlaanderen.be/bouwen-wonen-en-energie/niet-residentiele-gebouwen/co2-uitstoot-verlagen-bij-niet-residentiele-gebouwen/verplichtingen-voor-niet-residentiele-gebouwen - q-c36a3be5-31d6-47f4-9618-6d0e928ce3fb"/>
  </hyperlinks>
  <pageMargins left="0.7" right="0.7" top="0.75" bottom="0.75" header="0.3" footer="0.3"/>
  <pageSetup orientation="portrait" r:id="rId22"/>
  <drawing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33"/>
  </sheetPr>
  <dimension ref="B2:AH94"/>
  <sheetViews>
    <sheetView showGridLines="0" zoomScale="50" zoomScaleNormal="50" workbookViewId="0">
      <selection activeCell="V16" sqref="V16"/>
    </sheetView>
  </sheetViews>
  <sheetFormatPr defaultColWidth="8.88671875" defaultRowHeight="14.4" x14ac:dyDescent="0.3"/>
  <cols>
    <col min="1" max="1" width="2.88671875" customWidth="1"/>
    <col min="2" max="2" width="2.5546875" customWidth="1"/>
    <col min="3" max="3" width="27.5546875" customWidth="1"/>
    <col min="4" max="4" width="57.5546875" customWidth="1"/>
    <col min="10" max="10" width="9.44140625" customWidth="1"/>
  </cols>
  <sheetData>
    <row r="2" spans="2:18" ht="24" thickBot="1" x14ac:dyDescent="0.5">
      <c r="B2" s="3" t="s">
        <v>378</v>
      </c>
      <c r="C2" s="3"/>
      <c r="D2" s="3"/>
    </row>
    <row r="3" spans="2:18" ht="19.5" customHeight="1" x14ac:dyDescent="0.3">
      <c r="C3" t="s">
        <v>379</v>
      </c>
    </row>
    <row r="4" spans="2:18" ht="35.1" customHeight="1" thickBot="1" x14ac:dyDescent="0.45">
      <c r="B4" s="92"/>
      <c r="C4" s="1027" t="s">
        <v>380</v>
      </c>
      <c r="D4" s="1027"/>
      <c r="E4" s="255"/>
      <c r="F4" s="255"/>
      <c r="G4" s="255"/>
      <c r="H4" s="255"/>
      <c r="I4" s="255"/>
      <c r="J4" s="255"/>
      <c r="K4" s="255"/>
      <c r="L4" s="255"/>
    </row>
    <row r="5" spans="2:18" ht="15.6" customHeight="1" x14ac:dyDescent="0.3">
      <c r="B5" s="92"/>
      <c r="C5" s="269"/>
      <c r="D5" s="255"/>
      <c r="E5" s="255"/>
      <c r="F5" s="255"/>
      <c r="G5" s="255"/>
      <c r="H5" s="255"/>
      <c r="I5" s="255"/>
      <c r="J5" s="255"/>
      <c r="K5" s="255"/>
      <c r="L5" s="255"/>
    </row>
    <row r="6" spans="2:18" ht="15.6" customHeight="1" x14ac:dyDescent="0.3">
      <c r="B6" s="92"/>
      <c r="C6" s="1028" t="s">
        <v>381</v>
      </c>
      <c r="D6" s="1028"/>
      <c r="E6" s="1028"/>
      <c r="F6" s="1028"/>
      <c r="G6" s="1028"/>
      <c r="H6" s="1028"/>
      <c r="I6" s="1028"/>
      <c r="J6" s="1028"/>
      <c r="K6" s="255"/>
      <c r="L6" s="255"/>
    </row>
    <row r="7" spans="2:18" ht="64.5" customHeight="1" x14ac:dyDescent="0.3">
      <c r="B7" s="92"/>
      <c r="C7" s="1028"/>
      <c r="D7" s="1028"/>
      <c r="E7" s="1028"/>
      <c r="F7" s="1028"/>
      <c r="G7" s="1028"/>
      <c r="H7" s="1028"/>
      <c r="I7" s="1028"/>
      <c r="J7" s="1028"/>
      <c r="K7" s="255"/>
      <c r="L7" s="255"/>
    </row>
    <row r="8" spans="2:18" ht="27" customHeight="1" thickBot="1" x14ac:dyDescent="0.35">
      <c r="B8" s="92"/>
      <c r="C8" s="255"/>
      <c r="D8" s="255"/>
      <c r="E8" s="255"/>
      <c r="F8" s="255"/>
      <c r="G8" s="255"/>
      <c r="H8" s="255"/>
      <c r="I8" s="255"/>
      <c r="J8" s="255"/>
      <c r="K8" s="255"/>
      <c r="L8" s="255"/>
    </row>
    <row r="9" spans="2:18" ht="14.4" customHeight="1" thickBot="1" x14ac:dyDescent="0.35">
      <c r="B9" s="92"/>
      <c r="C9" s="255"/>
      <c r="D9" s="255"/>
      <c r="E9" s="1029" t="s">
        <v>382</v>
      </c>
      <c r="F9" s="1030"/>
      <c r="G9" s="1030"/>
      <c r="H9" s="1030"/>
      <c r="I9" s="1030"/>
      <c r="J9" s="1030"/>
      <c r="K9" s="1030"/>
      <c r="L9" s="1030"/>
      <c r="M9" s="1030"/>
      <c r="N9" s="1030"/>
      <c r="O9" s="1030"/>
      <c r="P9" s="1030"/>
      <c r="Q9" s="1030"/>
      <c r="R9" s="1031"/>
    </row>
    <row r="10" spans="2:18" ht="15.6" customHeight="1" thickBot="1" x14ac:dyDescent="0.35">
      <c r="E10" s="97">
        <v>2021</v>
      </c>
      <c r="F10" s="98">
        <v>2022</v>
      </c>
      <c r="G10" s="98">
        <v>2023</v>
      </c>
      <c r="H10" s="98">
        <v>2024</v>
      </c>
      <c r="I10" s="98">
        <v>2025</v>
      </c>
      <c r="J10" s="98">
        <v>2026</v>
      </c>
      <c r="K10" s="98">
        <v>2027</v>
      </c>
      <c r="L10" s="98">
        <v>2028</v>
      </c>
      <c r="M10" s="98">
        <v>2029</v>
      </c>
      <c r="N10" s="98">
        <v>2030</v>
      </c>
      <c r="O10" s="98">
        <v>2031</v>
      </c>
      <c r="P10" s="98">
        <v>2032</v>
      </c>
      <c r="Q10" s="98">
        <v>2033</v>
      </c>
      <c r="R10" s="99">
        <v>2034</v>
      </c>
    </row>
    <row r="11" spans="2:18" ht="15" thickBot="1" x14ac:dyDescent="0.35">
      <c r="B11" s="92"/>
      <c r="C11" s="128" t="s">
        <v>383</v>
      </c>
      <c r="D11" s="270" t="s">
        <v>384</v>
      </c>
      <c r="E11" s="271">
        <f>E12+E13</f>
        <v>1224</v>
      </c>
      <c r="F11" s="127">
        <f t="shared" ref="F11:R11" si="0">F12+F13</f>
        <v>1224</v>
      </c>
      <c r="G11" s="126">
        <f t="shared" si="0"/>
        <v>1251</v>
      </c>
      <c r="H11" s="126">
        <f t="shared" si="0"/>
        <v>1278</v>
      </c>
      <c r="I11" s="126">
        <f t="shared" si="0"/>
        <v>1305</v>
      </c>
      <c r="J11" s="126">
        <f t="shared" si="0"/>
        <v>1305</v>
      </c>
      <c r="K11" s="126">
        <f t="shared" si="0"/>
        <v>1305</v>
      </c>
      <c r="L11" s="126">
        <f t="shared" si="0"/>
        <v>1305</v>
      </c>
      <c r="M11" s="126">
        <f t="shared" si="0"/>
        <v>1305</v>
      </c>
      <c r="N11" s="126">
        <f t="shared" si="0"/>
        <v>1305</v>
      </c>
      <c r="O11" s="126">
        <f t="shared" si="0"/>
        <v>1305</v>
      </c>
      <c r="P11" s="126">
        <f t="shared" si="0"/>
        <v>1305</v>
      </c>
      <c r="Q11" s="126">
        <f t="shared" si="0"/>
        <v>1305</v>
      </c>
      <c r="R11" s="272">
        <f t="shared" si="0"/>
        <v>1305</v>
      </c>
    </row>
    <row r="12" spans="2:18" ht="15.6" customHeight="1" x14ac:dyDescent="0.3">
      <c r="B12" s="92"/>
      <c r="C12" s="1032"/>
      <c r="D12" s="117" t="s">
        <v>385</v>
      </c>
      <c r="E12" s="273">
        <f>1080</f>
        <v>1080</v>
      </c>
      <c r="F12" s="37">
        <v>1080</v>
      </c>
      <c r="G12" s="37">
        <v>1107</v>
      </c>
      <c r="H12" s="37">
        <v>1134</v>
      </c>
      <c r="I12" s="37">
        <v>1161</v>
      </c>
      <c r="J12" s="37">
        <v>1161</v>
      </c>
      <c r="K12" s="37">
        <v>1161</v>
      </c>
      <c r="L12" s="37">
        <v>1161</v>
      </c>
      <c r="M12" s="37">
        <v>1161</v>
      </c>
      <c r="N12" s="37">
        <v>1161</v>
      </c>
      <c r="O12" s="37">
        <v>1161</v>
      </c>
      <c r="P12" s="37">
        <v>1161</v>
      </c>
      <c r="Q12" s="37">
        <v>1161</v>
      </c>
      <c r="R12" s="115">
        <v>1161</v>
      </c>
    </row>
    <row r="13" spans="2:18" ht="15.6" customHeight="1" thickBot="1" x14ac:dyDescent="0.35">
      <c r="B13" s="92"/>
      <c r="C13" s="1033"/>
      <c r="D13" s="118" t="s">
        <v>386</v>
      </c>
      <c r="E13" s="274">
        <v>144</v>
      </c>
      <c r="F13" s="111">
        <v>144</v>
      </c>
      <c r="G13" s="111">
        <v>144</v>
      </c>
      <c r="H13" s="111">
        <v>144</v>
      </c>
      <c r="I13" s="111">
        <v>144</v>
      </c>
      <c r="J13" s="111">
        <v>144</v>
      </c>
      <c r="K13" s="111">
        <v>144</v>
      </c>
      <c r="L13" s="111">
        <v>144</v>
      </c>
      <c r="M13" s="111">
        <v>144</v>
      </c>
      <c r="N13" s="111">
        <v>144</v>
      </c>
      <c r="O13" s="111">
        <v>144</v>
      </c>
      <c r="P13" s="111">
        <v>144</v>
      </c>
      <c r="Q13" s="111">
        <v>144</v>
      </c>
      <c r="R13" s="116">
        <v>144</v>
      </c>
    </row>
    <row r="14" spans="2:18" ht="15.6" customHeight="1" x14ac:dyDescent="0.3">
      <c r="B14" s="92"/>
      <c r="C14" s="256"/>
      <c r="E14" s="37"/>
      <c r="F14" s="37"/>
      <c r="G14" s="37"/>
      <c r="H14" s="37"/>
      <c r="I14" s="37"/>
      <c r="J14" s="37"/>
      <c r="K14" s="37"/>
      <c r="L14" s="37"/>
      <c r="M14" s="37"/>
      <c r="N14" s="37"/>
      <c r="O14" s="37"/>
      <c r="P14" s="37"/>
      <c r="Q14" s="37"/>
      <c r="R14" s="37"/>
    </row>
    <row r="15" spans="2:18" ht="15.6" customHeight="1" thickBot="1" x14ac:dyDescent="0.35">
      <c r="B15" s="92"/>
      <c r="C15" s="256"/>
      <c r="E15" s="37"/>
      <c r="F15" s="37"/>
      <c r="G15" s="37"/>
      <c r="H15" s="37"/>
      <c r="I15" s="37"/>
      <c r="J15" s="37"/>
      <c r="K15" s="37"/>
      <c r="L15" s="37"/>
      <c r="M15" s="37"/>
      <c r="N15" s="37"/>
      <c r="O15" s="37"/>
      <c r="P15" s="37"/>
      <c r="Q15" s="37"/>
      <c r="R15" s="37"/>
    </row>
    <row r="16" spans="2:18" ht="15.6" customHeight="1" thickBot="1" x14ac:dyDescent="0.35">
      <c r="B16" s="92"/>
      <c r="C16" s="255"/>
      <c r="D16" s="255"/>
      <c r="E16" s="1029" t="s">
        <v>387</v>
      </c>
      <c r="F16" s="1030"/>
      <c r="G16" s="1030"/>
      <c r="H16" s="1030"/>
      <c r="I16" s="1030"/>
      <c r="J16" s="1030"/>
      <c r="K16" s="1030"/>
      <c r="L16" s="1030"/>
      <c r="M16" s="1030"/>
      <c r="N16" s="1030"/>
      <c r="O16" s="1030"/>
      <c r="P16" s="1030"/>
      <c r="Q16" s="1030"/>
      <c r="R16" s="1031"/>
    </row>
    <row r="17" spans="2:18" ht="15.6" customHeight="1" thickBot="1" x14ac:dyDescent="0.35">
      <c r="B17" s="92"/>
      <c r="E17" s="97">
        <v>2021</v>
      </c>
      <c r="F17" s="98">
        <v>2022</v>
      </c>
      <c r="G17" s="98">
        <v>2023</v>
      </c>
      <c r="H17" s="98">
        <v>2024</v>
      </c>
      <c r="I17" s="98">
        <v>2025</v>
      </c>
      <c r="J17" s="98">
        <v>2026</v>
      </c>
      <c r="K17" s="98">
        <v>2027</v>
      </c>
      <c r="L17" s="98">
        <v>2028</v>
      </c>
      <c r="M17" s="98">
        <v>2029</v>
      </c>
      <c r="N17" s="98">
        <v>2030</v>
      </c>
      <c r="O17" s="98">
        <v>2031</v>
      </c>
      <c r="P17" s="98">
        <v>2032</v>
      </c>
      <c r="Q17" s="98">
        <v>2033</v>
      </c>
      <c r="R17" s="99">
        <v>2034</v>
      </c>
    </row>
    <row r="18" spans="2:18" ht="15.6" customHeight="1" thickBot="1" x14ac:dyDescent="0.35">
      <c r="B18" s="92"/>
      <c r="C18" s="128" t="s">
        <v>388</v>
      </c>
      <c r="D18" s="270" t="s">
        <v>389</v>
      </c>
      <c r="E18" s="271">
        <f>E19-E20</f>
        <v>5413</v>
      </c>
      <c r="F18" s="127">
        <f t="shared" ref="F18:R18" si="1">F19-F20</f>
        <v>5413</v>
      </c>
      <c r="G18" s="126">
        <f t="shared" si="1"/>
        <v>5800</v>
      </c>
      <c r="H18" s="126">
        <f t="shared" si="1"/>
        <v>5800</v>
      </c>
      <c r="I18" s="126">
        <f t="shared" si="1"/>
        <v>5800</v>
      </c>
      <c r="J18" s="126">
        <f t="shared" si="1"/>
        <v>5800</v>
      </c>
      <c r="K18" s="126">
        <f t="shared" si="1"/>
        <v>5800</v>
      </c>
      <c r="L18" s="126">
        <f t="shared" si="1"/>
        <v>5800</v>
      </c>
      <c r="M18" s="126">
        <f t="shared" si="1"/>
        <v>5800</v>
      </c>
      <c r="N18" s="126">
        <f t="shared" si="1"/>
        <v>5800</v>
      </c>
      <c r="O18" s="126">
        <f t="shared" si="1"/>
        <v>5800</v>
      </c>
      <c r="P18" s="126">
        <f t="shared" si="1"/>
        <v>5800</v>
      </c>
      <c r="Q18" s="126">
        <f t="shared" si="1"/>
        <v>5800</v>
      </c>
      <c r="R18" s="272">
        <f t="shared" si="1"/>
        <v>5800</v>
      </c>
    </row>
    <row r="19" spans="2:18" ht="15.6" customHeight="1" x14ac:dyDescent="0.3">
      <c r="B19" s="92"/>
      <c r="C19" s="1032"/>
      <c r="D19" s="117" t="s">
        <v>390</v>
      </c>
      <c r="E19" s="579">
        <v>5913</v>
      </c>
      <c r="F19" s="580">
        <v>5913</v>
      </c>
      <c r="G19" s="580">
        <v>6300</v>
      </c>
      <c r="H19" s="580">
        <v>6300</v>
      </c>
      <c r="I19" s="580">
        <v>6300</v>
      </c>
      <c r="J19" s="580">
        <v>6300</v>
      </c>
      <c r="K19" s="580">
        <v>6300</v>
      </c>
      <c r="L19" s="580">
        <v>6300</v>
      </c>
      <c r="M19" s="580">
        <v>6300</v>
      </c>
      <c r="N19" s="580">
        <v>6300</v>
      </c>
      <c r="O19" s="580">
        <v>6300</v>
      </c>
      <c r="P19" s="580">
        <v>6300</v>
      </c>
      <c r="Q19" s="580">
        <v>6300</v>
      </c>
      <c r="R19" s="581">
        <v>6300</v>
      </c>
    </row>
    <row r="20" spans="2:18" ht="15.6" customHeight="1" thickBot="1" x14ac:dyDescent="0.35">
      <c r="B20" s="92"/>
      <c r="C20" s="1033"/>
      <c r="D20" s="118" t="s">
        <v>391</v>
      </c>
      <c r="E20" s="274">
        <v>500</v>
      </c>
      <c r="F20" s="111">
        <v>500</v>
      </c>
      <c r="G20" s="111">
        <v>500</v>
      </c>
      <c r="H20" s="111">
        <v>500</v>
      </c>
      <c r="I20" s="111">
        <v>500</v>
      </c>
      <c r="J20" s="111">
        <v>500</v>
      </c>
      <c r="K20" s="111">
        <v>500</v>
      </c>
      <c r="L20" s="111">
        <v>500</v>
      </c>
      <c r="M20" s="111">
        <v>500</v>
      </c>
      <c r="N20" s="111">
        <v>500</v>
      </c>
      <c r="O20" s="111">
        <v>500</v>
      </c>
      <c r="P20" s="111">
        <v>500</v>
      </c>
      <c r="Q20" s="111">
        <v>500</v>
      </c>
      <c r="R20" s="116">
        <v>500</v>
      </c>
    </row>
    <row r="21" spans="2:18" ht="38.1" customHeight="1" x14ac:dyDescent="0.3">
      <c r="B21" s="92"/>
      <c r="C21" s="255"/>
      <c r="D21" s="255"/>
      <c r="E21" s="255"/>
      <c r="F21" s="255"/>
      <c r="G21" s="255"/>
      <c r="H21" s="255"/>
      <c r="I21" s="255"/>
      <c r="J21" s="255"/>
      <c r="K21" s="255"/>
      <c r="L21" s="255"/>
    </row>
    <row r="22" spans="2:18" ht="35.1" customHeight="1" thickBot="1" x14ac:dyDescent="0.45">
      <c r="B22" s="92"/>
      <c r="C22" s="1027" t="s">
        <v>392</v>
      </c>
      <c r="D22" s="1027"/>
      <c r="E22" s="255"/>
      <c r="F22" s="255"/>
      <c r="G22" s="255"/>
      <c r="H22" s="255"/>
      <c r="I22" s="255"/>
      <c r="J22" s="255"/>
      <c r="K22" s="255"/>
      <c r="L22" s="255"/>
    </row>
    <row r="23" spans="2:18" ht="15.75" customHeight="1" x14ac:dyDescent="0.3">
      <c r="B23" s="92"/>
      <c r="C23" s="275"/>
      <c r="D23" s="275"/>
      <c r="E23" s="275"/>
      <c r="F23" s="275"/>
      <c r="G23" s="275"/>
      <c r="H23" s="275"/>
      <c r="I23" s="275"/>
      <c r="J23" s="275"/>
      <c r="K23" s="275"/>
      <c r="L23" s="275"/>
    </row>
    <row r="24" spans="2:18" ht="15.75" customHeight="1" x14ac:dyDescent="0.3">
      <c r="B24" s="92"/>
      <c r="C24" s="1028" t="s">
        <v>393</v>
      </c>
      <c r="D24" s="1028"/>
      <c r="E24" s="1028"/>
      <c r="F24" s="1028"/>
      <c r="G24" s="1028"/>
      <c r="H24" s="1028"/>
      <c r="I24" s="1028"/>
      <c r="J24" s="1028"/>
      <c r="K24" s="275"/>
      <c r="L24" s="275"/>
    </row>
    <row r="25" spans="2:18" ht="15.75" customHeight="1" x14ac:dyDescent="0.3">
      <c r="B25" s="92"/>
      <c r="C25" s="1028"/>
      <c r="D25" s="1028"/>
      <c r="E25" s="1028"/>
      <c r="F25" s="1028"/>
      <c r="G25" s="1028"/>
      <c r="H25" s="1028"/>
      <c r="I25" s="1028"/>
      <c r="J25" s="1028"/>
      <c r="K25" s="275"/>
      <c r="L25" s="275"/>
    </row>
    <row r="26" spans="2:18" ht="15.75" customHeight="1" x14ac:dyDescent="0.3">
      <c r="B26" s="92"/>
      <c r="C26" s="1028"/>
      <c r="D26" s="1028"/>
      <c r="E26" s="1028"/>
      <c r="F26" s="1028"/>
      <c r="G26" s="1028"/>
      <c r="H26" s="1028"/>
      <c r="I26" s="1028"/>
      <c r="J26" s="1028"/>
      <c r="K26" s="275"/>
      <c r="L26" s="275"/>
    </row>
    <row r="27" spans="2:18" ht="15.75" customHeight="1" x14ac:dyDescent="0.3">
      <c r="B27" s="92"/>
      <c r="C27" s="1028"/>
      <c r="D27" s="1028"/>
      <c r="E27" s="1028"/>
      <c r="F27" s="1028"/>
      <c r="G27" s="1028"/>
      <c r="H27" s="1028"/>
      <c r="I27" s="1028"/>
      <c r="J27" s="1028"/>
      <c r="K27" s="275"/>
      <c r="L27" s="275"/>
    </row>
    <row r="28" spans="2:18" ht="15.6" customHeight="1" x14ac:dyDescent="0.3">
      <c r="B28" s="92"/>
      <c r="C28" s="1028"/>
      <c r="D28" s="1028"/>
      <c r="E28" s="1028"/>
      <c r="F28" s="1028"/>
      <c r="G28" s="1028"/>
      <c r="H28" s="1028"/>
      <c r="I28" s="1028"/>
      <c r="J28" s="1028"/>
      <c r="K28" s="255"/>
      <c r="L28" s="255"/>
    </row>
    <row r="29" spans="2:18" ht="15.6" customHeight="1" x14ac:dyDescent="0.3">
      <c r="B29" s="92"/>
      <c r="C29" s="1028"/>
      <c r="D29" s="1028"/>
      <c r="E29" s="1028"/>
      <c r="F29" s="1028"/>
      <c r="G29" s="1028"/>
      <c r="H29" s="1028"/>
      <c r="I29" s="1028"/>
      <c r="J29" s="1028"/>
      <c r="K29" s="255"/>
      <c r="L29" s="255"/>
    </row>
    <row r="30" spans="2:18" ht="15.6" customHeight="1" x14ac:dyDescent="0.3">
      <c r="B30" s="92"/>
      <c r="C30" s="1028"/>
      <c r="D30" s="1028"/>
      <c r="E30" s="1028"/>
      <c r="F30" s="1028"/>
      <c r="G30" s="1028"/>
      <c r="H30" s="1028"/>
      <c r="I30" s="1028"/>
      <c r="J30" s="1028"/>
      <c r="K30" s="255"/>
      <c r="L30" s="255"/>
    </row>
    <row r="31" spans="2:18" ht="15.6" customHeight="1" x14ac:dyDescent="0.3">
      <c r="B31" s="92"/>
      <c r="C31" s="1028"/>
      <c r="D31" s="1028"/>
      <c r="E31" s="1028"/>
      <c r="F31" s="1028"/>
      <c r="G31" s="1028"/>
      <c r="H31" s="1028"/>
      <c r="I31" s="1028"/>
      <c r="J31" s="1028"/>
      <c r="K31" s="255"/>
      <c r="L31" s="255"/>
    </row>
    <row r="32" spans="2:18" ht="15.6" customHeight="1" x14ac:dyDescent="0.3">
      <c r="B32" s="92"/>
      <c r="C32" s="1028"/>
      <c r="D32" s="1028"/>
      <c r="E32" s="1028"/>
      <c r="F32" s="1028"/>
      <c r="G32" s="1028"/>
      <c r="H32" s="1028"/>
      <c r="I32" s="1028"/>
      <c r="J32" s="1028"/>
      <c r="K32" s="255"/>
      <c r="L32" s="255"/>
    </row>
    <row r="33" spans="2:34" ht="15.6" customHeight="1" thickBot="1" x14ac:dyDescent="0.35">
      <c r="B33" s="92"/>
      <c r="C33" s="112"/>
      <c r="D33" s="255"/>
      <c r="E33" s="255"/>
      <c r="F33" s="255"/>
      <c r="G33" s="255"/>
      <c r="H33" s="255"/>
      <c r="I33" s="255"/>
      <c r="J33" s="255"/>
      <c r="K33" s="255"/>
      <c r="L33" s="255"/>
    </row>
    <row r="34" spans="2:34" ht="15" thickBot="1" x14ac:dyDescent="0.35">
      <c r="B34" s="92"/>
      <c r="C34" s="112"/>
      <c r="D34" s="255"/>
      <c r="E34" s="1029" t="s">
        <v>394</v>
      </c>
      <c r="F34" s="1030"/>
      <c r="G34" s="1030"/>
      <c r="H34" s="1030"/>
      <c r="I34" s="1030"/>
      <c r="J34" s="1030"/>
      <c r="K34" s="1030"/>
      <c r="L34" s="1030"/>
      <c r="M34" s="1030"/>
      <c r="N34" s="1030"/>
      <c r="O34" s="1030"/>
      <c r="P34" s="1030"/>
      <c r="Q34" s="1030"/>
      <c r="R34" s="1031"/>
    </row>
    <row r="35" spans="2:34" s="103" customFormat="1" ht="17.100000000000001" customHeight="1" thickBot="1" x14ac:dyDescent="0.35">
      <c r="B35" s="155"/>
      <c r="C35" s="156"/>
      <c r="D35" s="157"/>
      <c r="E35" s="157"/>
      <c r="F35" s="157"/>
      <c r="G35" s="157"/>
      <c r="H35" s="157"/>
      <c r="I35" s="157"/>
      <c r="J35" s="157"/>
      <c r="K35" s="157"/>
      <c r="L35" s="157"/>
    </row>
    <row r="36" spans="2:34" s="103" customFormat="1" ht="17.100000000000001" customHeight="1" thickBot="1" x14ac:dyDescent="0.35">
      <c r="B36" s="92"/>
      <c r="C36" s="113"/>
      <c r="D36" s="145"/>
      <c r="E36" s="97" t="s">
        <v>395</v>
      </c>
      <c r="F36" s="98">
        <v>2022</v>
      </c>
      <c r="G36" s="98">
        <v>2023</v>
      </c>
      <c r="H36" s="98">
        <v>2024</v>
      </c>
      <c r="I36" s="98">
        <v>2025</v>
      </c>
      <c r="J36" s="98">
        <v>2026</v>
      </c>
      <c r="K36" s="98">
        <v>2027</v>
      </c>
      <c r="L36" s="98">
        <v>2028</v>
      </c>
      <c r="M36" s="98">
        <v>2029</v>
      </c>
      <c r="N36" s="98">
        <v>2030</v>
      </c>
      <c r="O36" s="98">
        <v>2031</v>
      </c>
      <c r="P36" s="98">
        <v>2032</v>
      </c>
      <c r="Q36" s="98">
        <v>2033</v>
      </c>
      <c r="R36" s="98">
        <v>2034</v>
      </c>
      <c r="S36"/>
      <c r="T36"/>
    </row>
    <row r="37" spans="2:34" s="154" customFormat="1" ht="17.100000000000001" customHeight="1" thickBot="1" x14ac:dyDescent="0.35">
      <c r="B37" s="92"/>
      <c r="C37" s="124" t="s">
        <v>396</v>
      </c>
      <c r="D37" s="125"/>
      <c r="E37" s="279">
        <v>52</v>
      </c>
      <c r="F37" s="146">
        <v>152</v>
      </c>
      <c r="G37" s="146">
        <v>208</v>
      </c>
      <c r="H37" s="146">
        <v>540</v>
      </c>
      <c r="I37" s="146">
        <v>877</v>
      </c>
      <c r="J37" s="146">
        <v>1530</v>
      </c>
      <c r="K37" s="146">
        <v>1769</v>
      </c>
      <c r="L37" s="146">
        <v>2009</v>
      </c>
      <c r="M37" s="146">
        <v>2249</v>
      </c>
      <c r="N37" s="146">
        <v>2489</v>
      </c>
      <c r="O37" s="146">
        <v>2728</v>
      </c>
      <c r="P37" s="147">
        <v>2968</v>
      </c>
      <c r="Q37" s="147">
        <v>3208</v>
      </c>
      <c r="R37" s="148">
        <v>3448</v>
      </c>
      <c r="S37"/>
      <c r="T37" s="76"/>
    </row>
    <row r="38" spans="2:34" s="19" customFormat="1" ht="16.350000000000001" customHeight="1" x14ac:dyDescent="0.3">
      <c r="B38" s="120"/>
      <c r="C38" s="1034" t="s">
        <v>397</v>
      </c>
      <c r="D38" s="121" t="s">
        <v>398</v>
      </c>
      <c r="E38" s="280">
        <v>52</v>
      </c>
      <c r="F38" s="122">
        <v>52</v>
      </c>
      <c r="G38" s="122">
        <v>52</v>
      </c>
      <c r="H38" s="122">
        <v>52</v>
      </c>
      <c r="I38" s="122">
        <v>226</v>
      </c>
      <c r="J38" s="122">
        <v>226</v>
      </c>
      <c r="K38" s="122">
        <v>226</v>
      </c>
      <c r="L38" s="122">
        <v>226</v>
      </c>
      <c r="M38" s="122">
        <v>226</v>
      </c>
      <c r="N38" s="122">
        <v>226</v>
      </c>
      <c r="O38" s="122">
        <v>226</v>
      </c>
      <c r="P38" s="122">
        <v>226</v>
      </c>
      <c r="Q38" s="122">
        <v>226</v>
      </c>
      <c r="R38" s="123">
        <v>226</v>
      </c>
      <c r="S38"/>
      <c r="T38" s="76"/>
    </row>
    <row r="39" spans="2:34" s="19" customFormat="1" ht="16.350000000000001" customHeight="1" thickBot="1" x14ac:dyDescent="0.35">
      <c r="B39" s="120"/>
      <c r="C39" s="1035"/>
      <c r="D39" s="119" t="s">
        <v>399</v>
      </c>
      <c r="E39" s="281">
        <v>0</v>
      </c>
      <c r="F39" s="39">
        <v>100</v>
      </c>
      <c r="G39" s="39">
        <v>156</v>
      </c>
      <c r="H39" s="39">
        <v>488</v>
      </c>
      <c r="I39" s="39">
        <v>651</v>
      </c>
      <c r="J39" s="39">
        <v>1304</v>
      </c>
      <c r="K39" s="39">
        <v>1543</v>
      </c>
      <c r="L39" s="39">
        <v>1783</v>
      </c>
      <c r="M39" s="39">
        <v>2023</v>
      </c>
      <c r="N39" s="39">
        <v>2263</v>
      </c>
      <c r="O39" s="39">
        <v>2502</v>
      </c>
      <c r="P39" s="39">
        <v>2742</v>
      </c>
      <c r="Q39" s="39">
        <v>2982</v>
      </c>
      <c r="R39" s="38">
        <v>3222</v>
      </c>
      <c r="S39"/>
      <c r="T39" s="76"/>
    </row>
    <row r="40" spans="2:34" s="19" customFormat="1" ht="16.350000000000001" customHeight="1" thickBot="1" x14ac:dyDescent="0.35">
      <c r="B40" s="120"/>
      <c r="C40" s="124" t="s">
        <v>400</v>
      </c>
      <c r="D40" s="125"/>
      <c r="E40" s="279">
        <v>177</v>
      </c>
      <c r="F40" s="146">
        <v>517</v>
      </c>
      <c r="G40" s="146">
        <v>707</v>
      </c>
      <c r="H40" s="146">
        <v>1836</v>
      </c>
      <c r="I40" s="146">
        <v>2981</v>
      </c>
      <c r="J40" s="146">
        <v>5202</v>
      </c>
      <c r="K40" s="146">
        <v>6014</v>
      </c>
      <c r="L40" s="146">
        <v>6830</v>
      </c>
      <c r="M40" s="146">
        <v>7646</v>
      </c>
      <c r="N40" s="146">
        <v>8462</v>
      </c>
      <c r="O40" s="146">
        <v>9275</v>
      </c>
      <c r="P40" s="147">
        <v>10091</v>
      </c>
      <c r="Q40" s="147">
        <v>10907</v>
      </c>
      <c r="R40" s="148">
        <v>11723</v>
      </c>
      <c r="S40"/>
      <c r="T40" s="76"/>
    </row>
    <row r="41" spans="2:34" ht="15.6" customHeight="1" x14ac:dyDescent="0.3">
      <c r="B41" s="120"/>
      <c r="C41" s="1034" t="s">
        <v>401</v>
      </c>
      <c r="D41" s="121" t="s">
        <v>402</v>
      </c>
      <c r="E41" s="280">
        <v>177</v>
      </c>
      <c r="F41" s="122">
        <v>177</v>
      </c>
      <c r="G41" s="122">
        <v>177</v>
      </c>
      <c r="H41" s="122">
        <v>177</v>
      </c>
      <c r="I41" s="122">
        <v>768</v>
      </c>
      <c r="J41" s="122">
        <v>768</v>
      </c>
      <c r="K41" s="122">
        <v>768</v>
      </c>
      <c r="L41" s="122">
        <v>768</v>
      </c>
      <c r="M41" s="122">
        <v>768</v>
      </c>
      <c r="N41" s="122">
        <v>768</v>
      </c>
      <c r="O41" s="122">
        <v>768</v>
      </c>
      <c r="P41" s="122">
        <v>768</v>
      </c>
      <c r="Q41" s="122">
        <v>768</v>
      </c>
      <c r="R41" s="123">
        <v>768</v>
      </c>
      <c r="T41" s="76"/>
    </row>
    <row r="42" spans="2:34" ht="15.6" customHeight="1" thickBot="1" x14ac:dyDescent="0.35">
      <c r="B42" s="120"/>
      <c r="C42" s="1036" t="s">
        <v>403</v>
      </c>
      <c r="D42" s="276" t="s">
        <v>399</v>
      </c>
      <c r="E42" s="282">
        <v>0</v>
      </c>
      <c r="F42" s="277">
        <v>340</v>
      </c>
      <c r="G42" s="277">
        <v>530</v>
      </c>
      <c r="H42" s="277">
        <v>1659</v>
      </c>
      <c r="I42" s="277">
        <v>2213</v>
      </c>
      <c r="J42" s="277">
        <v>4434</v>
      </c>
      <c r="K42" s="277">
        <v>5246</v>
      </c>
      <c r="L42" s="277">
        <v>6062</v>
      </c>
      <c r="M42" s="277">
        <v>6878</v>
      </c>
      <c r="N42" s="277">
        <v>7694</v>
      </c>
      <c r="O42" s="277">
        <v>8507</v>
      </c>
      <c r="P42" s="277">
        <v>9323</v>
      </c>
      <c r="Q42" s="277">
        <v>10139</v>
      </c>
      <c r="R42" s="278">
        <v>10955</v>
      </c>
      <c r="T42" s="76"/>
    </row>
    <row r="43" spans="2:34" ht="15.6" customHeight="1" x14ac:dyDescent="0.3">
      <c r="B43" s="92"/>
      <c r="D43" s="255"/>
      <c r="E43" s="328"/>
      <c r="F43" s="328"/>
      <c r="G43" s="328"/>
      <c r="H43" s="328"/>
      <c r="I43" s="328"/>
      <c r="J43" s="328"/>
      <c r="K43" s="328"/>
      <c r="L43" s="328"/>
      <c r="M43" s="328"/>
      <c r="N43" s="328"/>
      <c r="O43" s="328"/>
      <c r="P43" s="328"/>
      <c r="Q43" s="328"/>
      <c r="R43" s="328"/>
    </row>
    <row r="44" spans="2:34" ht="15.6" customHeight="1" x14ac:dyDescent="0.3">
      <c r="B44" s="92"/>
      <c r="C44" s="113"/>
      <c r="D44" s="255"/>
      <c r="E44" s="328"/>
      <c r="F44" s="328"/>
      <c r="G44" s="328"/>
      <c r="H44" s="328"/>
      <c r="I44" s="328"/>
      <c r="J44" s="328"/>
      <c r="K44" s="328"/>
      <c r="L44" s="328"/>
      <c r="M44" s="328"/>
      <c r="N44" s="328"/>
      <c r="O44" s="328"/>
      <c r="P44" s="328"/>
      <c r="Q44" s="328"/>
      <c r="R44" s="328"/>
    </row>
    <row r="45" spans="2:34" ht="18.75" customHeight="1" thickBot="1" x14ac:dyDescent="0.45">
      <c r="C45" s="1027" t="s">
        <v>404</v>
      </c>
      <c r="D45" s="1027"/>
      <c r="E45" s="255"/>
      <c r="F45" s="255"/>
      <c r="G45" s="255"/>
      <c r="H45" s="255"/>
      <c r="I45" s="255"/>
      <c r="J45" s="255"/>
      <c r="K45" s="255"/>
      <c r="L45" s="255"/>
    </row>
    <row r="46" spans="2:34" ht="15.6" customHeight="1" x14ac:dyDescent="0.3">
      <c r="C46" s="275"/>
      <c r="D46" s="275"/>
      <c r="E46" s="275"/>
      <c r="F46" s="275"/>
      <c r="G46" s="275"/>
      <c r="H46" s="275"/>
      <c r="I46" s="275"/>
      <c r="J46" s="275"/>
      <c r="K46" s="275"/>
      <c r="L46" s="275"/>
      <c r="U46" s="76"/>
      <c r="V46" s="76"/>
      <c r="W46" s="76"/>
      <c r="X46" s="76"/>
      <c r="Y46" s="76"/>
      <c r="Z46" s="76"/>
      <c r="AA46" s="76"/>
      <c r="AB46" s="76"/>
      <c r="AC46" s="76"/>
      <c r="AD46" s="76"/>
      <c r="AE46" s="76"/>
      <c r="AF46" s="76"/>
      <c r="AG46" s="76"/>
      <c r="AH46" s="76"/>
    </row>
    <row r="47" spans="2:34" ht="15.6" customHeight="1" x14ac:dyDescent="0.3">
      <c r="C47" s="1028" t="s">
        <v>405</v>
      </c>
      <c r="D47" s="1028"/>
      <c r="E47" s="1028"/>
      <c r="F47" s="1028"/>
      <c r="G47" s="1028"/>
      <c r="H47" s="1028"/>
      <c r="I47" s="1028"/>
      <c r="J47" s="1028"/>
      <c r="K47" s="275"/>
      <c r="L47" s="275"/>
      <c r="U47" s="76"/>
      <c r="V47" s="76"/>
      <c r="W47" s="76"/>
      <c r="X47" s="76"/>
      <c r="Y47" s="76"/>
      <c r="Z47" s="76"/>
      <c r="AA47" s="76"/>
      <c r="AB47" s="76"/>
      <c r="AC47" s="76"/>
      <c r="AD47" s="76"/>
      <c r="AE47" s="76"/>
      <c r="AF47" s="76"/>
      <c r="AG47" s="76"/>
      <c r="AH47" s="76"/>
    </row>
    <row r="48" spans="2:34" ht="15.6" customHeight="1" x14ac:dyDescent="0.3">
      <c r="C48" s="1028"/>
      <c r="D48" s="1028"/>
      <c r="E48" s="1028"/>
      <c r="F48" s="1028"/>
      <c r="G48" s="1028"/>
      <c r="H48" s="1028"/>
      <c r="I48" s="1028"/>
      <c r="J48" s="1028"/>
      <c r="K48" s="275"/>
      <c r="L48" s="275"/>
      <c r="U48" s="76"/>
      <c r="V48" s="76"/>
      <c r="W48" s="76"/>
      <c r="X48" s="76"/>
      <c r="Y48" s="76"/>
      <c r="Z48" s="76"/>
      <c r="AA48" s="76"/>
      <c r="AB48" s="76"/>
      <c r="AC48" s="76"/>
      <c r="AD48" s="76"/>
      <c r="AE48" s="76"/>
      <c r="AF48" s="76"/>
      <c r="AG48" s="76"/>
      <c r="AH48" s="76"/>
    </row>
    <row r="49" spans="2:34" ht="15.6" customHeight="1" x14ac:dyDescent="0.3">
      <c r="C49" s="1028"/>
      <c r="D49" s="1028"/>
      <c r="E49" s="1028"/>
      <c r="F49" s="1028"/>
      <c r="G49" s="1028"/>
      <c r="H49" s="1028"/>
      <c r="I49" s="1028"/>
      <c r="J49" s="1028"/>
      <c r="K49" s="275"/>
      <c r="L49" s="275"/>
      <c r="U49" s="76"/>
      <c r="V49" s="76"/>
      <c r="W49" s="76"/>
      <c r="X49" s="76"/>
      <c r="Y49" s="76"/>
      <c r="Z49" s="76"/>
      <c r="AA49" s="76"/>
      <c r="AB49" s="76"/>
      <c r="AC49" s="76"/>
      <c r="AD49" s="76"/>
      <c r="AE49" s="76"/>
      <c r="AF49" s="76"/>
      <c r="AG49" s="76"/>
      <c r="AH49" s="76"/>
    </row>
    <row r="50" spans="2:34" ht="15.6" customHeight="1" x14ac:dyDescent="0.3">
      <c r="C50" s="1028"/>
      <c r="D50" s="1028"/>
      <c r="E50" s="1028"/>
      <c r="F50" s="1028"/>
      <c r="G50" s="1028"/>
      <c r="H50" s="1028"/>
      <c r="I50" s="1028"/>
      <c r="J50" s="1028"/>
      <c r="K50" s="275"/>
      <c r="L50" s="275"/>
      <c r="U50" s="76"/>
      <c r="V50" s="76"/>
      <c r="W50" s="76"/>
      <c r="X50" s="76"/>
      <c r="Y50" s="76"/>
      <c r="Z50" s="76"/>
      <c r="AA50" s="76"/>
      <c r="AB50" s="76"/>
      <c r="AC50" s="76"/>
      <c r="AD50" s="76"/>
      <c r="AE50" s="76"/>
      <c r="AF50" s="76"/>
      <c r="AG50" s="76"/>
      <c r="AH50" s="76"/>
    </row>
    <row r="51" spans="2:34" ht="15.6" customHeight="1" x14ac:dyDescent="0.3">
      <c r="C51" s="1028"/>
      <c r="D51" s="1028"/>
      <c r="E51" s="1028"/>
      <c r="F51" s="1028"/>
      <c r="G51" s="1028"/>
      <c r="H51" s="1028"/>
      <c r="I51" s="1028"/>
      <c r="J51" s="1028"/>
      <c r="K51" s="255"/>
      <c r="L51" s="255"/>
      <c r="U51" s="76"/>
      <c r="V51" s="76"/>
      <c r="W51" s="76"/>
      <c r="X51" s="76"/>
      <c r="Y51" s="76"/>
      <c r="Z51" s="76"/>
      <c r="AA51" s="76"/>
      <c r="AB51" s="76"/>
      <c r="AC51" s="76"/>
      <c r="AD51" s="76"/>
      <c r="AE51" s="76"/>
      <c r="AF51" s="76"/>
      <c r="AG51" s="76"/>
      <c r="AH51" s="76"/>
    </row>
    <row r="52" spans="2:34" ht="15.6" customHeight="1" x14ac:dyDescent="0.3">
      <c r="C52" s="1028"/>
      <c r="D52" s="1028"/>
      <c r="E52" s="1028"/>
      <c r="F52" s="1028"/>
      <c r="G52" s="1028"/>
      <c r="H52" s="1028"/>
      <c r="I52" s="1028"/>
      <c r="J52" s="1028"/>
      <c r="K52" s="255"/>
      <c r="L52" s="255"/>
      <c r="U52" s="76"/>
      <c r="V52" s="76"/>
      <c r="W52" s="76"/>
      <c r="X52" s="76"/>
      <c r="Y52" s="76"/>
      <c r="Z52" s="76"/>
      <c r="AA52" s="76"/>
      <c r="AB52" s="76"/>
      <c r="AC52" s="76"/>
      <c r="AD52" s="76"/>
      <c r="AE52" s="76"/>
      <c r="AF52" s="76"/>
      <c r="AG52" s="76"/>
      <c r="AH52" s="76"/>
    </row>
    <row r="53" spans="2:34" ht="15.6" customHeight="1" x14ac:dyDescent="0.3">
      <c r="C53" s="1028"/>
      <c r="D53" s="1028"/>
      <c r="E53" s="1028"/>
      <c r="F53" s="1028"/>
      <c r="G53" s="1028"/>
      <c r="H53" s="1028"/>
      <c r="I53" s="1028"/>
      <c r="J53" s="1028"/>
      <c r="K53" s="255"/>
      <c r="L53" s="255"/>
      <c r="U53" s="76"/>
      <c r="V53" s="76"/>
      <c r="W53" s="76"/>
      <c r="X53" s="76"/>
      <c r="Y53" s="76"/>
      <c r="Z53" s="76"/>
      <c r="AA53" s="76"/>
      <c r="AB53" s="76"/>
      <c r="AC53" s="76"/>
      <c r="AD53" s="76"/>
      <c r="AE53" s="76"/>
      <c r="AF53" s="76"/>
      <c r="AG53" s="76"/>
      <c r="AH53" s="76"/>
    </row>
    <row r="54" spans="2:34" ht="15.6" customHeight="1" x14ac:dyDescent="0.3">
      <c r="C54" s="1028"/>
      <c r="D54" s="1028"/>
      <c r="E54" s="1028"/>
      <c r="F54" s="1028"/>
      <c r="G54" s="1028"/>
      <c r="H54" s="1028"/>
      <c r="I54" s="1028"/>
      <c r="J54" s="1028"/>
      <c r="K54" s="255"/>
      <c r="L54" s="255"/>
      <c r="U54" s="76"/>
      <c r="V54" s="76"/>
      <c r="W54" s="76"/>
      <c r="X54" s="76"/>
      <c r="Y54" s="76"/>
      <c r="Z54" s="76"/>
      <c r="AA54" s="76"/>
      <c r="AB54" s="76"/>
      <c r="AC54" s="76"/>
      <c r="AD54" s="76"/>
      <c r="AE54" s="76"/>
      <c r="AF54" s="76"/>
      <c r="AG54" s="76"/>
      <c r="AH54" s="76"/>
    </row>
    <row r="55" spans="2:34" ht="15.6" customHeight="1" x14ac:dyDescent="0.3">
      <c r="C55" s="1028"/>
      <c r="D55" s="1028"/>
      <c r="E55" s="1028"/>
      <c r="F55" s="1028"/>
      <c r="G55" s="1028"/>
      <c r="H55" s="1028"/>
      <c r="I55" s="1028"/>
      <c r="J55" s="1028"/>
      <c r="K55" s="255"/>
      <c r="L55" s="255"/>
      <c r="U55" s="76"/>
      <c r="V55" s="76"/>
      <c r="W55" s="76"/>
      <c r="X55" s="76"/>
      <c r="Y55" s="76"/>
      <c r="Z55" s="76"/>
      <c r="AA55" s="76"/>
      <c r="AB55" s="76"/>
      <c r="AC55" s="76"/>
      <c r="AD55" s="76"/>
      <c r="AE55" s="76"/>
      <c r="AF55" s="76"/>
      <c r="AG55" s="76"/>
      <c r="AH55" s="76"/>
    </row>
    <row r="56" spans="2:34" ht="15.6" customHeight="1" thickBot="1" x14ac:dyDescent="0.35">
      <c r="C56" s="112"/>
      <c r="D56" s="255"/>
      <c r="E56" s="255"/>
      <c r="F56" s="255"/>
      <c r="G56" s="255"/>
      <c r="H56" s="255"/>
      <c r="I56" s="255"/>
      <c r="J56" s="255"/>
      <c r="K56" s="255"/>
      <c r="L56" s="255"/>
    </row>
    <row r="57" spans="2:34" ht="15.6" customHeight="1" thickBot="1" x14ac:dyDescent="0.35">
      <c r="B57" s="92"/>
      <c r="C57" s="112"/>
      <c r="D57" s="255"/>
      <c r="E57" s="1029" t="s">
        <v>406</v>
      </c>
      <c r="F57" s="1030"/>
      <c r="G57" s="1030"/>
      <c r="H57" s="1030"/>
      <c r="I57" s="1030"/>
      <c r="J57" s="1030"/>
      <c r="K57" s="1030"/>
      <c r="L57" s="1030"/>
      <c r="M57" s="1030"/>
      <c r="N57" s="1030"/>
      <c r="O57" s="1030"/>
      <c r="P57" s="1030"/>
      <c r="Q57" s="1030"/>
      <c r="R57" s="1031"/>
    </row>
    <row r="58" spans="2:34" ht="15.6" customHeight="1" thickBot="1" x14ac:dyDescent="0.35">
      <c r="B58" s="92"/>
      <c r="C58" s="156"/>
      <c r="D58" s="157"/>
      <c r="E58" s="157"/>
      <c r="F58" s="157"/>
      <c r="G58" s="157"/>
      <c r="H58" s="157"/>
      <c r="I58" s="157"/>
      <c r="J58" s="157"/>
      <c r="K58" s="157"/>
      <c r="L58" s="157"/>
      <c r="M58" s="103"/>
      <c r="N58" s="103"/>
      <c r="O58" s="103"/>
      <c r="P58" s="103"/>
      <c r="Q58" s="103"/>
      <c r="R58" s="103"/>
      <c r="S58" s="103"/>
    </row>
    <row r="59" spans="2:34" ht="15.6" customHeight="1" thickBot="1" x14ac:dyDescent="0.35">
      <c r="B59" s="92"/>
      <c r="C59" s="113"/>
      <c r="D59" s="145"/>
      <c r="E59" s="97">
        <v>2021</v>
      </c>
      <c r="F59" s="98">
        <v>2022</v>
      </c>
      <c r="G59" s="98">
        <v>2023</v>
      </c>
      <c r="H59" s="98">
        <v>2024</v>
      </c>
      <c r="I59" s="98">
        <v>2025</v>
      </c>
      <c r="J59" s="98">
        <v>2026</v>
      </c>
      <c r="K59" s="98">
        <v>2027</v>
      </c>
      <c r="L59" s="98">
        <v>2028</v>
      </c>
      <c r="M59" s="98">
        <v>2029</v>
      </c>
      <c r="N59" s="98">
        <v>2030</v>
      </c>
      <c r="O59" s="98">
        <v>2031</v>
      </c>
      <c r="P59" s="98">
        <v>2032</v>
      </c>
      <c r="Q59" s="98">
        <v>2033</v>
      </c>
      <c r="R59" s="98">
        <v>2034</v>
      </c>
    </row>
    <row r="60" spans="2:34" ht="15.6" customHeight="1" thickBot="1" x14ac:dyDescent="0.35">
      <c r="B60" s="92"/>
      <c r="C60" s="296" t="s">
        <v>397</v>
      </c>
      <c r="D60" s="121"/>
      <c r="E60" s="280">
        <v>60</v>
      </c>
      <c r="F60" s="122">
        <v>172</v>
      </c>
      <c r="G60" s="122">
        <v>252</v>
      </c>
      <c r="H60" s="122">
        <v>308</v>
      </c>
      <c r="I60" s="122">
        <v>326</v>
      </c>
      <c r="J60" s="122">
        <v>346</v>
      </c>
      <c r="K60" s="122">
        <v>367</v>
      </c>
      <c r="L60" s="122">
        <v>390</v>
      </c>
      <c r="M60" s="122">
        <v>414</v>
      </c>
      <c r="N60" s="122">
        <v>440</v>
      </c>
      <c r="O60" s="122">
        <v>467</v>
      </c>
      <c r="P60" s="122">
        <v>496</v>
      </c>
      <c r="Q60" s="122">
        <v>526</v>
      </c>
      <c r="R60" s="123">
        <v>558</v>
      </c>
    </row>
    <row r="61" spans="2:34" ht="15.6" customHeight="1" thickBot="1" x14ac:dyDescent="0.35">
      <c r="B61" s="92"/>
      <c r="C61" s="317"/>
      <c r="D61" s="318"/>
      <c r="E61" s="319"/>
      <c r="F61" s="320"/>
      <c r="G61" s="320"/>
      <c r="H61" s="320"/>
      <c r="I61" s="320"/>
      <c r="J61" s="320"/>
      <c r="K61" s="320"/>
      <c r="L61" s="320"/>
      <c r="M61" s="320"/>
      <c r="N61" s="320"/>
      <c r="O61" s="320"/>
      <c r="P61" s="321"/>
      <c r="Q61" s="321"/>
      <c r="R61" s="322"/>
    </row>
    <row r="62" spans="2:34" ht="15.6" customHeight="1" thickBot="1" x14ac:dyDescent="0.35">
      <c r="B62" s="92"/>
      <c r="C62" s="323" t="s">
        <v>401</v>
      </c>
      <c r="D62" s="324"/>
      <c r="E62" s="325">
        <v>120</v>
      </c>
      <c r="F62" s="326">
        <v>344</v>
      </c>
      <c r="G62" s="326">
        <v>504</v>
      </c>
      <c r="H62" s="326">
        <v>616</v>
      </c>
      <c r="I62" s="326">
        <v>652</v>
      </c>
      <c r="J62" s="326">
        <v>692</v>
      </c>
      <c r="K62" s="326">
        <v>734</v>
      </c>
      <c r="L62" s="326">
        <v>780</v>
      </c>
      <c r="M62" s="326">
        <v>828</v>
      </c>
      <c r="N62" s="326">
        <v>880</v>
      </c>
      <c r="O62" s="326">
        <v>934</v>
      </c>
      <c r="P62" s="326">
        <v>992</v>
      </c>
      <c r="Q62" s="326">
        <v>1052</v>
      </c>
      <c r="R62" s="327">
        <v>1116</v>
      </c>
    </row>
    <row r="63" spans="2:34" ht="15.6" customHeight="1" x14ac:dyDescent="0.3">
      <c r="B63" s="92"/>
      <c r="D63" s="255"/>
      <c r="E63" s="255"/>
      <c r="F63" s="255"/>
      <c r="G63" s="255"/>
      <c r="H63" s="255"/>
      <c r="I63" s="255"/>
      <c r="J63" s="255"/>
      <c r="K63" s="255"/>
      <c r="L63" s="255"/>
    </row>
    <row r="64" spans="2:34" ht="15.6" customHeight="1" x14ac:dyDescent="0.3">
      <c r="B64" s="92"/>
      <c r="C64" s="255"/>
      <c r="D64" s="255"/>
      <c r="E64" s="255"/>
      <c r="F64" s="255"/>
      <c r="G64" s="255"/>
      <c r="H64" s="255"/>
      <c r="I64" s="255"/>
      <c r="J64" s="255"/>
      <c r="K64" s="255"/>
      <c r="L64" s="255"/>
    </row>
    <row r="65" spans="2:12" ht="15.6" customHeight="1" x14ac:dyDescent="0.3">
      <c r="B65" s="92"/>
      <c r="C65" s="255"/>
      <c r="D65" s="255"/>
      <c r="E65" s="255"/>
      <c r="F65" s="255"/>
      <c r="G65" s="255"/>
      <c r="H65" s="255"/>
      <c r="I65" s="255"/>
      <c r="J65" s="255"/>
      <c r="K65" s="255"/>
      <c r="L65" s="255"/>
    </row>
    <row r="66" spans="2:12" ht="15.6" customHeight="1" x14ac:dyDescent="0.3">
      <c r="B66" s="92"/>
      <c r="C66" s="255"/>
      <c r="D66" s="255"/>
      <c r="E66" s="255"/>
      <c r="F66" s="255"/>
      <c r="G66" s="255"/>
      <c r="H66" s="255"/>
      <c r="I66" s="255"/>
      <c r="J66" s="255"/>
      <c r="K66" s="255"/>
      <c r="L66" s="255"/>
    </row>
    <row r="67" spans="2:12" ht="15.6" customHeight="1" x14ac:dyDescent="0.3">
      <c r="B67" s="92"/>
      <c r="C67" s="255"/>
      <c r="D67" s="255"/>
      <c r="E67" s="255"/>
      <c r="F67" s="255"/>
      <c r="G67" s="255"/>
      <c r="H67" s="255"/>
      <c r="I67" s="255"/>
      <c r="J67" s="255"/>
      <c r="K67" s="255"/>
      <c r="L67" s="255"/>
    </row>
    <row r="68" spans="2:12" ht="15.6" customHeight="1" x14ac:dyDescent="0.3">
      <c r="B68" s="92"/>
      <c r="C68" s="255"/>
      <c r="D68" s="255"/>
      <c r="E68" s="255"/>
      <c r="F68" s="255"/>
      <c r="G68" s="255"/>
      <c r="H68" s="255"/>
      <c r="I68" s="255"/>
      <c r="J68" s="255"/>
      <c r="K68" s="255"/>
      <c r="L68" s="255"/>
    </row>
    <row r="69" spans="2:12" ht="15.6" customHeight="1" x14ac:dyDescent="0.3">
      <c r="B69" s="92"/>
      <c r="C69" s="255"/>
      <c r="D69" s="255"/>
      <c r="E69" s="255"/>
      <c r="F69" s="255"/>
      <c r="G69" s="255"/>
      <c r="H69" s="255"/>
      <c r="I69" s="255"/>
      <c r="J69" s="255"/>
      <c r="K69" s="255"/>
      <c r="L69" s="255"/>
    </row>
    <row r="70" spans="2:12" ht="15.6" customHeight="1" x14ac:dyDescent="0.3">
      <c r="B70" s="92"/>
      <c r="C70" s="255"/>
      <c r="D70" s="255"/>
      <c r="E70" s="255"/>
      <c r="F70" s="255"/>
      <c r="G70" s="255"/>
      <c r="H70" s="255"/>
      <c r="I70" s="255"/>
      <c r="J70" s="255"/>
      <c r="K70" s="255"/>
      <c r="L70" s="255"/>
    </row>
    <row r="71" spans="2:12" ht="15.6" customHeight="1" x14ac:dyDescent="0.3">
      <c r="B71" s="92"/>
      <c r="C71" s="255"/>
      <c r="D71" s="255"/>
      <c r="E71" s="255"/>
      <c r="F71" s="255"/>
      <c r="G71" s="255"/>
      <c r="H71" s="255"/>
      <c r="I71" s="255"/>
      <c r="J71" s="255"/>
      <c r="K71" s="255"/>
      <c r="L71" s="255"/>
    </row>
    <row r="72" spans="2:12" ht="15.6" customHeight="1" x14ac:dyDescent="0.3">
      <c r="B72" s="92"/>
      <c r="C72" s="255"/>
      <c r="D72" s="255"/>
      <c r="E72" s="255"/>
      <c r="F72" s="255"/>
      <c r="G72" s="255"/>
      <c r="H72" s="255"/>
      <c r="I72" s="255"/>
      <c r="J72" s="255"/>
      <c r="K72" s="255"/>
      <c r="L72" s="255"/>
    </row>
    <row r="73" spans="2:12" ht="15.6" customHeight="1" x14ac:dyDescent="0.3">
      <c r="B73" s="92"/>
      <c r="C73" s="255"/>
      <c r="D73" s="255"/>
      <c r="E73" s="255"/>
      <c r="F73" s="255"/>
      <c r="G73" s="255"/>
      <c r="H73" s="255"/>
      <c r="I73" s="255"/>
      <c r="J73" s="255"/>
      <c r="K73" s="255"/>
      <c r="L73" s="255"/>
    </row>
    <row r="74" spans="2:12" ht="15.6" customHeight="1" x14ac:dyDescent="0.3">
      <c r="B74" s="92"/>
      <c r="C74" s="255"/>
      <c r="D74" s="255"/>
      <c r="E74" s="255"/>
      <c r="F74" s="255"/>
      <c r="G74" s="255"/>
      <c r="H74" s="255"/>
      <c r="I74" s="255"/>
      <c r="J74" s="255"/>
      <c r="K74" s="255"/>
      <c r="L74" s="255"/>
    </row>
    <row r="75" spans="2:12" ht="15.6" customHeight="1" x14ac:dyDescent="0.3">
      <c r="B75" s="92"/>
      <c r="C75" s="255"/>
      <c r="D75" s="255"/>
      <c r="E75" s="255"/>
      <c r="F75" s="255"/>
      <c r="G75" s="255"/>
      <c r="H75" s="255"/>
      <c r="I75" s="255"/>
      <c r="J75" s="255"/>
      <c r="K75" s="255"/>
      <c r="L75" s="255"/>
    </row>
    <row r="76" spans="2:12" ht="15.6" customHeight="1" x14ac:dyDescent="0.3">
      <c r="B76" s="92"/>
      <c r="C76" s="255"/>
      <c r="D76" s="255"/>
      <c r="E76" s="255"/>
      <c r="F76" s="255"/>
      <c r="G76" s="255"/>
      <c r="H76" s="255"/>
      <c r="I76" s="255"/>
      <c r="J76" s="255"/>
      <c r="K76" s="255"/>
      <c r="L76" s="255"/>
    </row>
    <row r="77" spans="2:12" ht="15.6" customHeight="1" x14ac:dyDescent="0.3">
      <c r="B77" s="92"/>
      <c r="C77" s="255"/>
      <c r="D77" s="255"/>
      <c r="E77" s="255"/>
      <c r="F77" s="255"/>
      <c r="G77" s="255"/>
      <c r="H77" s="255"/>
      <c r="I77" s="255"/>
      <c r="J77" s="255"/>
      <c r="K77" s="255"/>
      <c r="L77" s="255"/>
    </row>
    <row r="78" spans="2:12" ht="15.6" customHeight="1" x14ac:dyDescent="0.3">
      <c r="B78" s="92"/>
      <c r="C78" s="255"/>
      <c r="D78" s="255"/>
      <c r="E78" s="255"/>
      <c r="F78" s="255"/>
      <c r="G78" s="255"/>
      <c r="H78" s="255"/>
      <c r="I78" s="255"/>
      <c r="J78" s="255"/>
      <c r="K78" s="255"/>
      <c r="L78" s="255"/>
    </row>
    <row r="79" spans="2:12" ht="15.6" customHeight="1" x14ac:dyDescent="0.45">
      <c r="B79" s="23"/>
      <c r="C79" s="13"/>
      <c r="D79" s="23"/>
    </row>
    <row r="80" spans="2:12" ht="15.6" customHeight="1" x14ac:dyDescent="0.3"/>
    <row r="81" spans="3:3" ht="15" customHeight="1" x14ac:dyDescent="0.3"/>
    <row r="82" spans="3:3" ht="15" customHeight="1" x14ac:dyDescent="0.3"/>
    <row r="83" spans="3:3" ht="15" customHeight="1" x14ac:dyDescent="0.3"/>
    <row r="84" spans="3:3" ht="15" customHeight="1" x14ac:dyDescent="0.3"/>
    <row r="85" spans="3:3" ht="15" customHeight="1" x14ac:dyDescent="0.3"/>
    <row r="86" spans="3:3" ht="15" customHeight="1" x14ac:dyDescent="0.3"/>
    <row r="87" spans="3:3" ht="15" customHeight="1" x14ac:dyDescent="0.3"/>
    <row r="88" spans="3:3" ht="15" customHeight="1" x14ac:dyDescent="0.3"/>
    <row r="89" spans="3:3" ht="15" customHeight="1" x14ac:dyDescent="0.3"/>
    <row r="90" spans="3:3" ht="15" customHeight="1" x14ac:dyDescent="0.3"/>
    <row r="91" spans="3:3" ht="15" customHeight="1" x14ac:dyDescent="0.3"/>
    <row r="92" spans="3:3" ht="15" customHeight="1" x14ac:dyDescent="0.3">
      <c r="C92" s="110"/>
    </row>
    <row r="93" spans="3:3" ht="15" customHeight="1" x14ac:dyDescent="0.3"/>
    <row r="94" spans="3:3" ht="15" customHeight="1" x14ac:dyDescent="0.3"/>
  </sheetData>
  <mergeCells count="14">
    <mergeCell ref="C45:D45"/>
    <mergeCell ref="C47:J55"/>
    <mergeCell ref="E57:R57"/>
    <mergeCell ref="C4:D4"/>
    <mergeCell ref="C6:J7"/>
    <mergeCell ref="E9:R9"/>
    <mergeCell ref="C12:C13"/>
    <mergeCell ref="E16:R16"/>
    <mergeCell ref="C19:C20"/>
    <mergeCell ref="C22:D22"/>
    <mergeCell ref="E34:R34"/>
    <mergeCell ref="C38:C39"/>
    <mergeCell ref="C41:C42"/>
    <mergeCell ref="C24:J3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33"/>
  </sheetPr>
  <dimension ref="A2:BC110"/>
  <sheetViews>
    <sheetView showGridLines="0" zoomScale="50" zoomScaleNormal="50" workbookViewId="0"/>
  </sheetViews>
  <sheetFormatPr defaultColWidth="9.109375" defaultRowHeight="14.4" x14ac:dyDescent="0.3"/>
  <cols>
    <col min="1" max="1" width="2.88671875" customWidth="1"/>
    <col min="2" max="2" width="70.5546875" customWidth="1"/>
    <col min="3" max="3" width="9" style="2" customWidth="1"/>
    <col min="4" max="8" width="10" customWidth="1"/>
    <col min="9" max="13" width="10.44140625" bestFit="1" customWidth="1"/>
    <col min="14" max="14" width="8.44140625" customWidth="1"/>
    <col min="15" max="16" width="10.88671875" customWidth="1"/>
    <col min="18" max="28" width="13.44140625" customWidth="1"/>
  </cols>
  <sheetData>
    <row r="2" spans="2:31" ht="24" thickBot="1" x14ac:dyDescent="0.5">
      <c r="B2" s="3" t="s">
        <v>407</v>
      </c>
    </row>
    <row r="3" spans="2:31" x14ac:dyDescent="0.3">
      <c r="B3" t="s">
        <v>408</v>
      </c>
    </row>
    <row r="5" spans="2:31" ht="15" customHeight="1" x14ac:dyDescent="0.35">
      <c r="B5" s="170" t="s">
        <v>409</v>
      </c>
      <c r="C5" s="171"/>
      <c r="D5" s="171"/>
      <c r="E5" s="171"/>
      <c r="F5" s="171"/>
      <c r="G5" s="171"/>
      <c r="H5" s="171"/>
      <c r="I5" s="171"/>
      <c r="Q5" s="167"/>
      <c r="R5" s="167"/>
      <c r="S5" s="167"/>
    </row>
    <row r="6" spans="2:31" ht="15" customHeight="1" x14ac:dyDescent="0.35">
      <c r="B6" s="170"/>
      <c r="C6" s="171"/>
      <c r="D6" s="171"/>
      <c r="E6" s="171"/>
      <c r="F6" s="171"/>
      <c r="G6" s="171"/>
      <c r="H6" s="171"/>
      <c r="I6" s="171"/>
      <c r="Q6" s="167"/>
      <c r="R6" s="167"/>
      <c r="S6" s="167"/>
    </row>
    <row r="7" spans="2:31" ht="15" customHeight="1" x14ac:dyDescent="0.3">
      <c r="B7" s="144"/>
      <c r="C7" s="171"/>
      <c r="D7" s="171"/>
      <c r="E7" s="171"/>
      <c r="F7" s="171"/>
      <c r="G7" s="171"/>
      <c r="H7" s="171"/>
      <c r="I7" s="171"/>
      <c r="Q7" s="167"/>
      <c r="R7" s="167"/>
      <c r="S7" s="167"/>
    </row>
    <row r="8" spans="2:31" ht="15" customHeight="1" thickBot="1" x14ac:dyDescent="0.35">
      <c r="C8" s="165"/>
      <c r="D8" s="165"/>
      <c r="E8" s="165"/>
      <c r="F8" s="165"/>
      <c r="G8" s="165"/>
      <c r="H8" s="165"/>
      <c r="I8" s="165"/>
      <c r="J8" s="165"/>
      <c r="K8" s="165"/>
      <c r="L8" s="165"/>
      <c r="M8" s="165"/>
      <c r="N8" s="165"/>
      <c r="O8" s="165"/>
      <c r="P8" s="165"/>
      <c r="Q8" s="167"/>
      <c r="R8" s="167"/>
      <c r="S8" s="167"/>
    </row>
    <row r="9" spans="2:31" ht="15" customHeight="1" thickBot="1" x14ac:dyDescent="0.35">
      <c r="B9" s="26"/>
      <c r="C9" s="1029" t="s">
        <v>410</v>
      </c>
      <c r="D9" s="1030"/>
      <c r="E9" s="1030"/>
      <c r="F9" s="1030"/>
      <c r="G9" s="1030"/>
      <c r="H9" s="1030"/>
      <c r="I9" s="1030"/>
      <c r="J9" s="1030"/>
      <c r="K9" s="1030"/>
      <c r="L9" s="1030"/>
      <c r="M9" s="1030"/>
      <c r="N9" s="1030"/>
      <c r="O9" s="1030"/>
      <c r="P9" s="1031"/>
      <c r="Q9" s="167"/>
      <c r="R9" s="167"/>
      <c r="S9" s="167"/>
    </row>
    <row r="10" spans="2:31" ht="15" customHeight="1" thickBot="1" x14ac:dyDescent="0.35">
      <c r="B10" s="28"/>
      <c r="C10" s="97">
        <v>2021</v>
      </c>
      <c r="D10" s="98">
        <v>2022</v>
      </c>
      <c r="E10" s="98">
        <v>2023</v>
      </c>
      <c r="F10" s="98">
        <v>2024</v>
      </c>
      <c r="G10" s="98">
        <v>2025</v>
      </c>
      <c r="H10" s="98">
        <v>2026</v>
      </c>
      <c r="I10" s="98">
        <v>2027</v>
      </c>
      <c r="J10" s="98">
        <v>2028</v>
      </c>
      <c r="K10" s="98">
        <v>2029</v>
      </c>
      <c r="L10" s="98">
        <v>2030</v>
      </c>
      <c r="M10" s="98">
        <v>2031</v>
      </c>
      <c r="N10" s="98">
        <v>2032</v>
      </c>
      <c r="O10" s="98">
        <v>2033</v>
      </c>
      <c r="P10" s="99">
        <v>2034</v>
      </c>
      <c r="Q10" s="167"/>
      <c r="R10" s="167"/>
      <c r="S10" s="167"/>
    </row>
    <row r="11" spans="2:31" ht="15" thickBot="1" x14ac:dyDescent="0.35">
      <c r="B11" s="329" t="s">
        <v>411</v>
      </c>
      <c r="C11" s="356">
        <f>SUM(C12:C16)</f>
        <v>1664</v>
      </c>
      <c r="D11" s="330">
        <f t="shared" ref="D11:P11" si="0">SUM(D12:D16)</f>
        <v>1798</v>
      </c>
      <c r="E11" s="330">
        <f t="shared" si="0"/>
        <v>1948</v>
      </c>
      <c r="F11" s="330">
        <f t="shared" si="0"/>
        <v>2098</v>
      </c>
      <c r="G11" s="330">
        <f t="shared" si="0"/>
        <v>2248</v>
      </c>
      <c r="H11" s="330">
        <f t="shared" si="0"/>
        <v>2398</v>
      </c>
      <c r="I11" s="330">
        <f t="shared" si="0"/>
        <v>2548</v>
      </c>
      <c r="J11" s="330">
        <f t="shared" si="0"/>
        <v>2698</v>
      </c>
      <c r="K11" s="330">
        <f t="shared" si="0"/>
        <v>2848</v>
      </c>
      <c r="L11" s="330">
        <f t="shared" si="0"/>
        <v>2998</v>
      </c>
      <c r="M11" s="330">
        <f t="shared" si="0"/>
        <v>3148</v>
      </c>
      <c r="N11" s="330">
        <f t="shared" si="0"/>
        <v>3298</v>
      </c>
      <c r="O11" s="330">
        <f t="shared" si="0"/>
        <v>3448</v>
      </c>
      <c r="P11" s="331">
        <f t="shared" si="0"/>
        <v>3598</v>
      </c>
      <c r="Q11" s="167"/>
      <c r="R11" s="167"/>
      <c r="S11" s="167"/>
      <c r="AE11" s="76"/>
    </row>
    <row r="12" spans="2:31" ht="15" thickBot="1" x14ac:dyDescent="0.35">
      <c r="B12" s="353" t="s">
        <v>412</v>
      </c>
      <c r="C12" s="333">
        <v>1664</v>
      </c>
      <c r="D12" s="354">
        <v>1798</v>
      </c>
      <c r="E12" s="354">
        <v>1798</v>
      </c>
      <c r="F12" s="354">
        <v>1798</v>
      </c>
      <c r="G12" s="354">
        <v>1798</v>
      </c>
      <c r="H12" s="354">
        <v>1798</v>
      </c>
      <c r="I12" s="354">
        <v>1798</v>
      </c>
      <c r="J12" s="354">
        <v>1798</v>
      </c>
      <c r="K12" s="354">
        <v>1798</v>
      </c>
      <c r="L12" s="354">
        <v>1798</v>
      </c>
      <c r="M12" s="354">
        <v>1798</v>
      </c>
      <c r="N12" s="354">
        <v>1798</v>
      </c>
      <c r="O12" s="354">
        <v>1798</v>
      </c>
      <c r="P12" s="355">
        <v>1798</v>
      </c>
    </row>
    <row r="13" spans="2:31" x14ac:dyDescent="0.3">
      <c r="B13" s="345" t="s">
        <v>413</v>
      </c>
      <c r="C13" s="333">
        <v>0</v>
      </c>
      <c r="D13" s="349">
        <v>0</v>
      </c>
      <c r="E13" s="349">
        <v>150</v>
      </c>
      <c r="F13" s="349">
        <v>300</v>
      </c>
      <c r="G13" s="349">
        <v>300</v>
      </c>
      <c r="H13" s="349">
        <v>300</v>
      </c>
      <c r="I13" s="349">
        <v>300</v>
      </c>
      <c r="J13" s="349">
        <v>300</v>
      </c>
      <c r="K13" s="349">
        <v>300</v>
      </c>
      <c r="L13" s="349">
        <v>300</v>
      </c>
      <c r="M13" s="349">
        <v>300</v>
      </c>
      <c r="N13" s="349">
        <v>300</v>
      </c>
      <c r="O13" s="349">
        <v>300</v>
      </c>
      <c r="P13" s="350">
        <v>300</v>
      </c>
    </row>
    <row r="14" spans="2:31" x14ac:dyDescent="0.3">
      <c r="B14" s="346" t="s">
        <v>414</v>
      </c>
      <c r="C14" s="338">
        <v>0</v>
      </c>
      <c r="D14" s="2">
        <v>0</v>
      </c>
      <c r="E14" s="2">
        <v>0</v>
      </c>
      <c r="F14" s="2">
        <v>0</v>
      </c>
      <c r="G14" s="2">
        <v>150</v>
      </c>
      <c r="H14" s="2">
        <v>300</v>
      </c>
      <c r="I14" s="2">
        <v>300</v>
      </c>
      <c r="J14" s="2">
        <v>300</v>
      </c>
      <c r="K14" s="2">
        <v>300</v>
      </c>
      <c r="L14" s="2">
        <v>300</v>
      </c>
      <c r="M14" s="2">
        <v>300</v>
      </c>
      <c r="N14" s="2">
        <v>300</v>
      </c>
      <c r="O14" s="2">
        <v>300</v>
      </c>
      <c r="P14" s="351">
        <v>300</v>
      </c>
    </row>
    <row r="15" spans="2:31" x14ac:dyDescent="0.3">
      <c r="B15" s="346" t="s">
        <v>415</v>
      </c>
      <c r="C15" s="338">
        <v>0</v>
      </c>
      <c r="D15" s="2">
        <v>0</v>
      </c>
      <c r="E15" s="2">
        <v>0</v>
      </c>
      <c r="F15" s="2">
        <v>0</v>
      </c>
      <c r="G15" s="2">
        <v>0</v>
      </c>
      <c r="H15" s="2">
        <v>0</v>
      </c>
      <c r="I15" s="2">
        <v>150</v>
      </c>
      <c r="J15" s="2">
        <v>300</v>
      </c>
      <c r="K15" s="2">
        <v>300</v>
      </c>
      <c r="L15" s="2">
        <v>300</v>
      </c>
      <c r="M15" s="2">
        <v>300</v>
      </c>
      <c r="N15" s="2">
        <v>300</v>
      </c>
      <c r="O15" s="2">
        <v>300</v>
      </c>
      <c r="P15" s="351">
        <v>300</v>
      </c>
    </row>
    <row r="16" spans="2:31" ht="15" thickBot="1" x14ac:dyDescent="0.35">
      <c r="B16" s="347" t="s">
        <v>416</v>
      </c>
      <c r="C16" s="341">
        <v>0</v>
      </c>
      <c r="D16" s="22">
        <v>0</v>
      </c>
      <c r="E16" s="22">
        <v>0</v>
      </c>
      <c r="F16" s="22">
        <v>0</v>
      </c>
      <c r="G16" s="22">
        <v>0</v>
      </c>
      <c r="H16" s="22">
        <v>0</v>
      </c>
      <c r="I16" s="22">
        <v>0</v>
      </c>
      <c r="J16" s="22">
        <v>0</v>
      </c>
      <c r="K16" s="22">
        <v>150</v>
      </c>
      <c r="L16" s="22">
        <v>300</v>
      </c>
      <c r="M16" s="22">
        <v>450</v>
      </c>
      <c r="N16" s="22">
        <v>600</v>
      </c>
      <c r="O16" s="22">
        <v>750</v>
      </c>
      <c r="P16" s="352">
        <v>900</v>
      </c>
    </row>
    <row r="17" spans="1:55" ht="15" customHeight="1" thickBot="1" x14ac:dyDescent="0.35">
      <c r="C17" s="76"/>
      <c r="D17" s="76"/>
      <c r="E17" s="76"/>
      <c r="F17" s="76"/>
      <c r="G17" s="76"/>
      <c r="H17" s="76"/>
      <c r="I17" s="76"/>
      <c r="J17" s="76"/>
      <c r="K17" s="76"/>
      <c r="L17" s="76"/>
      <c r="M17" s="76"/>
      <c r="N17" s="76"/>
      <c r="O17" s="76"/>
      <c r="P17" s="76"/>
      <c r="R17" s="167"/>
      <c r="S17" s="167"/>
    </row>
    <row r="18" spans="1:55" ht="15" thickBot="1" x14ac:dyDescent="0.35">
      <c r="B18" s="348" t="s">
        <v>417</v>
      </c>
      <c r="C18" s="356">
        <f>SUM(C19:C23)</f>
        <v>1664</v>
      </c>
      <c r="D18" s="330">
        <f t="shared" ref="D18:P18" si="1">SUM(D19:D23)</f>
        <v>1798</v>
      </c>
      <c r="E18" s="330">
        <f t="shared" si="1"/>
        <v>1798</v>
      </c>
      <c r="F18" s="330">
        <f t="shared" si="1"/>
        <v>1798</v>
      </c>
      <c r="G18" s="330">
        <f t="shared" si="1"/>
        <v>1798</v>
      </c>
      <c r="H18" s="330">
        <f t="shared" si="1"/>
        <v>1798</v>
      </c>
      <c r="I18" s="330">
        <f t="shared" si="1"/>
        <v>1798</v>
      </c>
      <c r="J18" s="330">
        <f t="shared" si="1"/>
        <v>1798</v>
      </c>
      <c r="K18" s="330">
        <f t="shared" si="1"/>
        <v>1798</v>
      </c>
      <c r="L18" s="330">
        <f t="shared" si="1"/>
        <v>1798</v>
      </c>
      <c r="M18" s="330">
        <f t="shared" si="1"/>
        <v>1798</v>
      </c>
      <c r="N18" s="330">
        <f t="shared" si="1"/>
        <v>1798</v>
      </c>
      <c r="O18" s="330">
        <f t="shared" si="1"/>
        <v>1798</v>
      </c>
      <c r="P18" s="331">
        <f t="shared" si="1"/>
        <v>1798</v>
      </c>
      <c r="Q18" s="167"/>
      <c r="R18" s="167"/>
      <c r="S18" s="167"/>
    </row>
    <row r="19" spans="1:55" x14ac:dyDescent="0.3">
      <c r="B19" s="332" t="s">
        <v>418</v>
      </c>
      <c r="C19" s="333">
        <v>120</v>
      </c>
      <c r="D19" s="334">
        <v>130</v>
      </c>
      <c r="E19" s="335">
        <v>130</v>
      </c>
      <c r="F19" s="335">
        <v>130</v>
      </c>
      <c r="G19" s="335">
        <v>130</v>
      </c>
      <c r="H19" s="335">
        <v>130</v>
      </c>
      <c r="I19" s="335">
        <v>130</v>
      </c>
      <c r="J19" s="335">
        <v>130</v>
      </c>
      <c r="K19" s="335">
        <v>130</v>
      </c>
      <c r="L19" s="335">
        <v>130</v>
      </c>
      <c r="M19" s="335">
        <v>130</v>
      </c>
      <c r="N19" s="335">
        <v>130</v>
      </c>
      <c r="O19" s="335">
        <v>130</v>
      </c>
      <c r="P19" s="336">
        <v>130</v>
      </c>
      <c r="Q19" s="167"/>
      <c r="R19" s="167"/>
      <c r="S19" s="167"/>
      <c r="AE19" s="76"/>
      <c r="AF19" s="76"/>
      <c r="AG19" s="91"/>
      <c r="AH19" s="91"/>
      <c r="AI19" s="91"/>
      <c r="AJ19" s="91"/>
      <c r="AK19" s="91"/>
      <c r="AL19" s="91"/>
      <c r="AM19" s="91"/>
      <c r="AN19" s="91"/>
      <c r="AO19" s="91"/>
      <c r="AP19" s="91"/>
      <c r="AQ19" s="91"/>
      <c r="AR19" s="91"/>
      <c r="AS19" s="91"/>
      <c r="AT19" s="91"/>
      <c r="AU19" s="91"/>
      <c r="AV19" s="91"/>
      <c r="AW19" s="91"/>
      <c r="AX19" s="91"/>
      <c r="AY19" s="91"/>
      <c r="AZ19" s="91"/>
      <c r="BA19" s="91"/>
      <c r="BB19" s="91"/>
      <c r="BC19" s="91"/>
    </row>
    <row r="20" spans="1:55" x14ac:dyDescent="0.3">
      <c r="B20" s="337" t="s">
        <v>419</v>
      </c>
      <c r="C20" s="338">
        <v>419</v>
      </c>
      <c r="D20" s="63">
        <v>453</v>
      </c>
      <c r="E20" s="174">
        <v>453</v>
      </c>
      <c r="F20" s="174">
        <v>453</v>
      </c>
      <c r="G20" s="174">
        <v>453</v>
      </c>
      <c r="H20" s="174">
        <v>453</v>
      </c>
      <c r="I20" s="174">
        <v>453</v>
      </c>
      <c r="J20" s="174">
        <v>453</v>
      </c>
      <c r="K20" s="174">
        <v>453</v>
      </c>
      <c r="L20" s="174">
        <v>453</v>
      </c>
      <c r="M20" s="174">
        <v>453</v>
      </c>
      <c r="N20" s="174">
        <v>453</v>
      </c>
      <c r="O20" s="174">
        <v>453</v>
      </c>
      <c r="P20" s="339">
        <v>453</v>
      </c>
      <c r="Q20" s="167"/>
      <c r="R20" s="167"/>
      <c r="S20" s="167"/>
      <c r="AE20" s="76"/>
      <c r="AF20" s="76"/>
      <c r="AG20" s="91"/>
      <c r="AH20" s="91"/>
      <c r="AI20" s="91"/>
      <c r="AJ20" s="91"/>
      <c r="AK20" s="91"/>
      <c r="AL20" s="91"/>
      <c r="AM20" s="91"/>
      <c r="AN20" s="91"/>
      <c r="AO20" s="91"/>
      <c r="AP20" s="91"/>
      <c r="AQ20" s="91"/>
      <c r="AR20" s="91"/>
      <c r="AS20" s="91"/>
      <c r="AT20" s="91"/>
      <c r="AU20" s="91"/>
      <c r="AV20" s="91"/>
      <c r="AW20" s="91"/>
      <c r="AX20" s="91"/>
      <c r="AY20" s="91"/>
      <c r="AZ20" s="91"/>
      <c r="BA20" s="91"/>
      <c r="BB20" s="91"/>
      <c r="BC20" s="91"/>
    </row>
    <row r="21" spans="1:55" x14ac:dyDescent="0.3">
      <c r="B21" s="337" t="s">
        <v>420</v>
      </c>
      <c r="C21" s="338">
        <v>587</v>
      </c>
      <c r="D21" s="63">
        <v>634</v>
      </c>
      <c r="E21" s="174">
        <v>634</v>
      </c>
      <c r="F21" s="174">
        <v>634</v>
      </c>
      <c r="G21" s="174">
        <v>634</v>
      </c>
      <c r="H21" s="174">
        <v>634</v>
      </c>
      <c r="I21" s="174">
        <v>634</v>
      </c>
      <c r="J21" s="174">
        <v>634</v>
      </c>
      <c r="K21" s="174">
        <v>634</v>
      </c>
      <c r="L21" s="174">
        <v>634</v>
      </c>
      <c r="M21" s="174">
        <v>634</v>
      </c>
      <c r="N21" s="174">
        <v>634</v>
      </c>
      <c r="O21" s="174">
        <v>634</v>
      </c>
      <c r="P21" s="339">
        <v>634</v>
      </c>
      <c r="Q21" s="167"/>
      <c r="R21" s="167"/>
      <c r="S21" s="167"/>
      <c r="AE21" s="76"/>
      <c r="AF21" s="76"/>
      <c r="AG21" s="91"/>
      <c r="AH21" s="91"/>
      <c r="AI21" s="91"/>
      <c r="AJ21" s="91"/>
      <c r="AK21" s="91"/>
      <c r="AL21" s="91"/>
      <c r="AM21" s="91"/>
      <c r="AN21" s="91"/>
      <c r="AO21" s="91"/>
      <c r="AP21" s="91"/>
      <c r="AQ21" s="91"/>
      <c r="AR21" s="91"/>
      <c r="AS21" s="91"/>
      <c r="AT21" s="91"/>
      <c r="AU21" s="91"/>
      <c r="AV21" s="91"/>
      <c r="AW21" s="91"/>
      <c r="AX21" s="91"/>
      <c r="AY21" s="91"/>
      <c r="AZ21" s="91"/>
      <c r="BA21" s="91"/>
      <c r="BB21" s="91"/>
      <c r="BC21" s="91"/>
    </row>
    <row r="22" spans="1:55" x14ac:dyDescent="0.3">
      <c r="B22" s="337" t="s">
        <v>421</v>
      </c>
      <c r="C22" s="338">
        <v>359</v>
      </c>
      <c r="D22" s="63">
        <v>388</v>
      </c>
      <c r="E22" s="174">
        <v>388</v>
      </c>
      <c r="F22" s="174">
        <v>388</v>
      </c>
      <c r="G22" s="174">
        <v>388</v>
      </c>
      <c r="H22" s="174">
        <v>388</v>
      </c>
      <c r="I22" s="174">
        <v>388</v>
      </c>
      <c r="J22" s="174">
        <v>388</v>
      </c>
      <c r="K22" s="174">
        <v>388</v>
      </c>
      <c r="L22" s="174">
        <v>388</v>
      </c>
      <c r="M22" s="174">
        <v>388</v>
      </c>
      <c r="N22" s="174">
        <v>388</v>
      </c>
      <c r="O22" s="174">
        <v>388</v>
      </c>
      <c r="P22" s="339">
        <v>388</v>
      </c>
      <c r="Q22" s="167"/>
      <c r="R22" s="167"/>
      <c r="S22" s="167"/>
      <c r="AE22" s="76"/>
      <c r="AF22" s="76"/>
      <c r="AG22" s="91"/>
      <c r="AH22" s="91"/>
      <c r="AI22" s="91"/>
      <c r="AJ22" s="91"/>
      <c r="AK22" s="91"/>
      <c r="AL22" s="91"/>
      <c r="AM22" s="91"/>
      <c r="AN22" s="91"/>
      <c r="AO22" s="91"/>
      <c r="AP22" s="91"/>
      <c r="AQ22" s="91"/>
      <c r="AR22" s="91"/>
      <c r="AS22" s="91"/>
      <c r="AT22" s="91"/>
      <c r="AU22" s="91"/>
      <c r="AV22" s="91"/>
      <c r="AW22" s="91"/>
      <c r="AX22" s="91"/>
      <c r="AY22" s="91"/>
      <c r="AZ22" s="91"/>
      <c r="BA22" s="91"/>
      <c r="BB22" s="91"/>
      <c r="BC22" s="91"/>
    </row>
    <row r="23" spans="1:55" ht="15" thickBot="1" x14ac:dyDescent="0.35">
      <c r="B23" s="340" t="s">
        <v>422</v>
      </c>
      <c r="C23" s="341">
        <v>179</v>
      </c>
      <c r="D23" s="342">
        <v>193</v>
      </c>
      <c r="E23" s="343">
        <v>193</v>
      </c>
      <c r="F23" s="343">
        <v>193</v>
      </c>
      <c r="G23" s="343">
        <v>193</v>
      </c>
      <c r="H23" s="343">
        <v>193</v>
      </c>
      <c r="I23" s="343">
        <v>193</v>
      </c>
      <c r="J23" s="343">
        <v>193</v>
      </c>
      <c r="K23" s="343">
        <v>193</v>
      </c>
      <c r="L23" s="343">
        <v>193</v>
      </c>
      <c r="M23" s="343">
        <v>193</v>
      </c>
      <c r="N23" s="343">
        <v>193</v>
      </c>
      <c r="O23" s="343">
        <v>193</v>
      </c>
      <c r="P23" s="344">
        <v>193</v>
      </c>
      <c r="Q23" s="167"/>
      <c r="R23" s="167"/>
      <c r="S23" s="167"/>
      <c r="AE23" s="76"/>
      <c r="AF23" s="76"/>
      <c r="AG23" s="91"/>
      <c r="AH23" s="91"/>
      <c r="AI23" s="91"/>
      <c r="AJ23" s="91"/>
      <c r="AK23" s="91"/>
      <c r="AL23" s="91"/>
      <c r="AM23" s="91"/>
      <c r="AN23" s="91"/>
      <c r="AO23" s="91"/>
      <c r="AP23" s="91"/>
      <c r="AQ23" s="91"/>
      <c r="AR23" s="91"/>
      <c r="AS23" s="91"/>
      <c r="AT23" s="91"/>
      <c r="AU23" s="91"/>
      <c r="AV23" s="91"/>
      <c r="AW23" s="91"/>
      <c r="AX23" s="91"/>
      <c r="AY23" s="91"/>
      <c r="AZ23" s="91"/>
      <c r="BA23" s="91"/>
      <c r="BB23" s="91"/>
      <c r="BC23" s="91"/>
    </row>
    <row r="24" spans="1:55" ht="15" customHeight="1" x14ac:dyDescent="0.3">
      <c r="A24" s="35"/>
      <c r="B24" s="109" t="s">
        <v>423</v>
      </c>
      <c r="C24" s="35"/>
      <c r="D24" s="35"/>
      <c r="E24" s="35"/>
      <c r="F24" s="35"/>
      <c r="G24" s="35"/>
      <c r="H24" s="35"/>
      <c r="I24" s="35"/>
      <c r="J24" s="35"/>
      <c r="K24" s="35"/>
      <c r="L24" s="35"/>
      <c r="M24" s="35"/>
      <c r="N24" s="35"/>
      <c r="O24" s="35"/>
      <c r="P24" s="35"/>
      <c r="Q24" s="167"/>
      <c r="R24" s="167"/>
      <c r="S24" s="167"/>
    </row>
    <row r="25" spans="1:55" ht="15" customHeight="1" x14ac:dyDescent="0.3">
      <c r="A25" s="35"/>
      <c r="B25" s="35"/>
      <c r="C25" s="35"/>
      <c r="D25" s="35"/>
      <c r="E25" s="35"/>
      <c r="F25" s="35"/>
      <c r="G25" s="35"/>
      <c r="H25" s="35"/>
      <c r="I25" s="35"/>
      <c r="J25" s="35"/>
      <c r="K25" s="35"/>
      <c r="L25" s="35"/>
      <c r="M25" s="35"/>
      <c r="N25" s="35"/>
      <c r="O25" s="35"/>
      <c r="P25" s="35"/>
      <c r="Q25" s="167"/>
      <c r="R25" s="167"/>
      <c r="S25" s="167"/>
    </row>
    <row r="26" spans="1:55" ht="15" customHeight="1" x14ac:dyDescent="0.3">
      <c r="A26" s="35"/>
      <c r="B26" s="35"/>
      <c r="C26" s="35"/>
      <c r="D26" s="35"/>
      <c r="E26" s="35"/>
      <c r="F26" s="35"/>
      <c r="G26" s="35"/>
      <c r="H26" s="35"/>
      <c r="I26" s="35"/>
      <c r="J26" s="35"/>
      <c r="K26" s="35"/>
      <c r="L26" s="35"/>
      <c r="M26" s="35"/>
      <c r="N26" s="35"/>
      <c r="O26" s="35"/>
      <c r="P26" s="35"/>
      <c r="Q26" s="167"/>
      <c r="R26" s="167"/>
      <c r="S26" s="167"/>
    </row>
    <row r="27" spans="1:55" ht="15" customHeight="1" x14ac:dyDescent="0.3">
      <c r="A27" s="35"/>
      <c r="B27" s="35"/>
      <c r="C27" s="35"/>
      <c r="D27" s="35"/>
      <c r="E27" s="35"/>
      <c r="F27" s="35"/>
      <c r="G27" s="35"/>
      <c r="H27" s="35"/>
      <c r="I27" s="35"/>
      <c r="J27" s="35"/>
      <c r="K27" s="35"/>
      <c r="L27" s="35"/>
      <c r="M27" s="35"/>
      <c r="N27" s="35"/>
      <c r="O27" s="35"/>
      <c r="P27" s="35"/>
      <c r="Q27" s="167"/>
      <c r="R27" s="167"/>
      <c r="S27" s="167"/>
    </row>
    <row r="28" spans="1:55" ht="15" customHeight="1" x14ac:dyDescent="0.3">
      <c r="A28" s="35"/>
      <c r="B28" s="35"/>
      <c r="C28" s="35"/>
      <c r="D28" s="35"/>
      <c r="E28" s="35"/>
      <c r="F28" s="35"/>
      <c r="G28" s="35"/>
      <c r="H28" s="35"/>
      <c r="I28" s="35"/>
      <c r="J28" s="35"/>
      <c r="K28" s="35"/>
      <c r="L28" s="35"/>
      <c r="M28" s="35"/>
      <c r="N28" s="35"/>
      <c r="O28" s="35"/>
      <c r="P28" s="35"/>
      <c r="Q28" s="167"/>
      <c r="R28" s="167"/>
      <c r="S28" s="167"/>
    </row>
    <row r="29" spans="1:55" ht="15" customHeight="1" x14ac:dyDescent="0.3">
      <c r="A29" s="35"/>
      <c r="B29" s="35"/>
      <c r="C29" s="35"/>
      <c r="D29" s="35"/>
      <c r="E29" s="35"/>
      <c r="F29" s="35"/>
      <c r="G29" s="35"/>
      <c r="H29" s="35"/>
      <c r="I29" s="35"/>
      <c r="J29" s="35"/>
      <c r="K29" s="35"/>
      <c r="L29" s="35"/>
      <c r="M29" s="35"/>
      <c r="N29" s="35"/>
      <c r="O29" s="35"/>
      <c r="P29" s="35"/>
      <c r="Q29" s="167"/>
      <c r="R29" s="167"/>
      <c r="S29" s="167"/>
    </row>
    <row r="30" spans="1:55" ht="15" customHeight="1" x14ac:dyDescent="0.3">
      <c r="A30" s="35"/>
      <c r="B30" s="35"/>
      <c r="C30" s="35"/>
      <c r="D30" s="35"/>
      <c r="E30" s="35"/>
      <c r="F30" s="35"/>
      <c r="G30" s="35"/>
      <c r="H30" s="35"/>
      <c r="I30" s="35"/>
      <c r="J30" s="35"/>
      <c r="K30" s="35"/>
      <c r="L30" s="35"/>
      <c r="M30" s="35"/>
      <c r="N30" s="35"/>
      <c r="O30" s="35"/>
      <c r="P30" s="35"/>
      <c r="Q30" s="167"/>
      <c r="R30" s="167"/>
      <c r="S30" s="167"/>
    </row>
    <row r="31" spans="1:55" ht="15" customHeight="1" x14ac:dyDescent="0.3">
      <c r="A31" s="35"/>
      <c r="B31" s="35"/>
      <c r="C31" s="35"/>
      <c r="D31" s="35"/>
      <c r="E31" s="35"/>
      <c r="F31" s="35"/>
      <c r="G31" s="35"/>
      <c r="H31" s="35"/>
      <c r="I31" s="35"/>
      <c r="J31" s="35"/>
      <c r="K31" s="35"/>
      <c r="L31" s="35"/>
      <c r="M31" s="35"/>
      <c r="N31" s="35"/>
      <c r="O31" s="35"/>
      <c r="P31" s="35"/>
      <c r="Q31" s="167"/>
      <c r="R31" s="167"/>
      <c r="S31" s="167"/>
    </row>
    <row r="32" spans="1:55" ht="15" customHeight="1" x14ac:dyDescent="0.3">
      <c r="A32" s="35"/>
      <c r="B32" s="35"/>
      <c r="C32" s="35"/>
      <c r="D32" s="35"/>
      <c r="E32" s="35"/>
      <c r="F32" s="35"/>
      <c r="G32" s="35"/>
      <c r="H32" s="35"/>
      <c r="I32" s="35"/>
      <c r="J32" s="35"/>
      <c r="K32" s="35"/>
      <c r="L32" s="35"/>
      <c r="M32" s="35"/>
      <c r="N32" s="35"/>
      <c r="O32" s="35"/>
      <c r="P32" s="35"/>
      <c r="Q32" s="167"/>
      <c r="R32" s="167"/>
      <c r="S32" s="167"/>
    </row>
    <row r="33" spans="1:19" ht="15" customHeight="1" x14ac:dyDescent="0.3">
      <c r="A33" s="35"/>
      <c r="B33" s="35"/>
      <c r="C33" s="35"/>
      <c r="D33" s="35"/>
      <c r="E33" s="35"/>
      <c r="F33" s="35"/>
      <c r="G33" s="35"/>
      <c r="H33" s="35"/>
      <c r="I33" s="35"/>
      <c r="J33" s="35"/>
      <c r="K33" s="35"/>
      <c r="L33" s="35"/>
      <c r="M33" s="35"/>
      <c r="N33" s="35"/>
      <c r="O33" s="35"/>
      <c r="P33" s="35"/>
      <c r="Q33" s="167"/>
      <c r="R33" s="167"/>
      <c r="S33" s="167"/>
    </row>
    <row r="34" spans="1:19" ht="15" customHeight="1" x14ac:dyDescent="0.3">
      <c r="A34" s="35"/>
      <c r="B34" s="35"/>
      <c r="C34" s="35"/>
      <c r="D34" s="35"/>
      <c r="E34" s="35"/>
      <c r="F34" s="35"/>
      <c r="G34" s="35"/>
      <c r="H34" s="35"/>
      <c r="I34" s="35"/>
      <c r="J34" s="35"/>
      <c r="K34" s="35"/>
      <c r="L34" s="35"/>
      <c r="M34" s="35"/>
      <c r="N34" s="35"/>
      <c r="O34" s="35"/>
      <c r="P34" s="35"/>
      <c r="Q34" s="167"/>
      <c r="R34" s="167"/>
      <c r="S34" s="167"/>
    </row>
    <row r="35" spans="1:19" ht="15" customHeight="1" x14ac:dyDescent="0.3">
      <c r="A35" s="35"/>
      <c r="B35" s="35"/>
      <c r="C35" s="35"/>
      <c r="D35" s="35"/>
      <c r="E35" s="35"/>
      <c r="F35" s="35"/>
      <c r="G35" s="35"/>
      <c r="H35" s="35"/>
      <c r="I35" s="35"/>
      <c r="J35" s="35"/>
      <c r="K35" s="35"/>
      <c r="L35" s="35"/>
      <c r="M35" s="35"/>
      <c r="N35" s="35"/>
      <c r="O35" s="35"/>
      <c r="P35" s="35"/>
      <c r="Q35" s="167"/>
      <c r="R35" s="167"/>
      <c r="S35" s="167"/>
    </row>
    <row r="36" spans="1:19" ht="15" customHeight="1" x14ac:dyDescent="0.3">
      <c r="A36" s="35"/>
      <c r="B36" s="35"/>
      <c r="C36" s="35"/>
      <c r="D36" s="35"/>
      <c r="E36" s="35"/>
      <c r="F36" s="35"/>
      <c r="G36" s="35"/>
      <c r="H36" s="35"/>
      <c r="I36" s="35"/>
      <c r="J36" s="35"/>
      <c r="K36" s="35"/>
      <c r="L36" s="35"/>
      <c r="M36" s="35"/>
      <c r="N36" s="35"/>
      <c r="O36" s="35"/>
      <c r="P36" s="35"/>
      <c r="Q36" s="167"/>
      <c r="R36" s="167"/>
      <c r="S36" s="167"/>
    </row>
    <row r="37" spans="1:19" ht="15" customHeight="1" x14ac:dyDescent="0.3">
      <c r="A37" s="35"/>
      <c r="B37" s="35"/>
      <c r="C37" s="35"/>
      <c r="D37" s="35"/>
      <c r="E37" s="35"/>
      <c r="F37" s="35"/>
      <c r="G37" s="35"/>
      <c r="H37" s="35"/>
      <c r="I37" s="35"/>
      <c r="J37" s="35"/>
      <c r="K37" s="35"/>
      <c r="L37" s="35"/>
      <c r="M37" s="35"/>
      <c r="N37" s="35"/>
      <c r="O37" s="35"/>
      <c r="P37" s="35"/>
      <c r="Q37" s="167"/>
      <c r="R37" s="167"/>
      <c r="S37" s="167"/>
    </row>
    <row r="38" spans="1:19" ht="15" customHeight="1" x14ac:dyDescent="0.3">
      <c r="A38" s="35"/>
      <c r="B38" s="35"/>
      <c r="C38" s="35"/>
      <c r="D38" s="35"/>
      <c r="E38" s="35"/>
      <c r="F38" s="35"/>
      <c r="G38" s="35"/>
      <c r="H38" s="35"/>
      <c r="I38" s="35"/>
      <c r="J38" s="35"/>
      <c r="K38" s="35"/>
      <c r="L38" s="35"/>
      <c r="M38" s="35"/>
      <c r="N38" s="35"/>
      <c r="O38" s="35"/>
      <c r="P38" s="35"/>
      <c r="Q38" s="167"/>
      <c r="R38" s="167"/>
      <c r="S38" s="167"/>
    </row>
    <row r="39" spans="1:19" ht="15" customHeight="1" x14ac:dyDescent="0.3">
      <c r="A39" s="35"/>
      <c r="B39" s="35"/>
      <c r="C39" s="35"/>
      <c r="D39" s="35"/>
      <c r="E39" s="35"/>
      <c r="F39" s="35"/>
      <c r="G39" s="35"/>
      <c r="H39" s="35"/>
      <c r="I39" s="35"/>
      <c r="J39" s="35"/>
      <c r="K39" s="35"/>
      <c r="L39" s="35"/>
      <c r="M39" s="35"/>
      <c r="N39" s="35"/>
      <c r="O39" s="35"/>
      <c r="P39" s="35"/>
      <c r="Q39" s="167"/>
      <c r="R39" s="167"/>
      <c r="S39" s="167"/>
    </row>
    <row r="40" spans="1:19" ht="15" customHeight="1" x14ac:dyDescent="0.3">
      <c r="A40" s="35"/>
      <c r="B40" s="35"/>
      <c r="C40" s="35"/>
      <c r="D40" s="35"/>
      <c r="E40" s="35"/>
      <c r="F40" s="35"/>
      <c r="G40" s="35"/>
      <c r="H40" s="35"/>
      <c r="I40" s="35"/>
      <c r="J40" s="35"/>
      <c r="K40" s="35"/>
      <c r="L40" s="35"/>
      <c r="M40" s="35"/>
      <c r="N40" s="35"/>
      <c r="O40" s="35"/>
      <c r="P40" s="35"/>
      <c r="Q40" s="167"/>
      <c r="R40" s="167"/>
      <c r="S40" s="167"/>
    </row>
    <row r="41" spans="1:19" ht="15" customHeight="1" x14ac:dyDescent="0.3">
      <c r="A41" s="35"/>
      <c r="B41" s="35"/>
      <c r="C41" s="35"/>
      <c r="D41" s="35"/>
      <c r="E41" s="35"/>
      <c r="F41" s="35"/>
      <c r="G41" s="35"/>
      <c r="H41" s="35"/>
      <c r="I41" s="35"/>
      <c r="J41" s="35"/>
      <c r="K41" s="35"/>
      <c r="L41" s="35"/>
      <c r="M41" s="35"/>
      <c r="N41" s="35"/>
      <c r="O41" s="35"/>
      <c r="P41" s="35"/>
      <c r="Q41" s="167"/>
      <c r="R41" s="167"/>
      <c r="S41" s="167"/>
    </row>
    <row r="42" spans="1:19" ht="15" customHeight="1" x14ac:dyDescent="0.3">
      <c r="A42" s="35"/>
      <c r="B42" s="35"/>
      <c r="C42" s="35"/>
      <c r="D42" s="35"/>
      <c r="E42" s="35"/>
      <c r="F42" s="35"/>
      <c r="G42" s="35"/>
      <c r="H42" s="35"/>
      <c r="I42" s="35"/>
      <c r="J42" s="35"/>
      <c r="K42" s="35"/>
      <c r="L42" s="35"/>
      <c r="M42" s="35"/>
      <c r="N42" s="35"/>
      <c r="O42" s="35"/>
      <c r="P42" s="35"/>
      <c r="Q42" s="167"/>
      <c r="R42" s="167"/>
      <c r="S42" s="167"/>
    </row>
    <row r="43" spans="1:19" ht="15" customHeight="1" x14ac:dyDescent="0.3">
      <c r="A43" s="35"/>
      <c r="B43" s="35"/>
      <c r="C43" s="35"/>
      <c r="D43" s="35"/>
      <c r="E43" s="35"/>
      <c r="F43" s="35"/>
      <c r="G43" s="35"/>
      <c r="H43" s="35"/>
      <c r="I43" s="35"/>
      <c r="J43" s="35"/>
      <c r="K43" s="35"/>
      <c r="L43" s="35"/>
      <c r="M43" s="35"/>
      <c r="N43" s="35"/>
      <c r="O43" s="35"/>
      <c r="P43" s="35"/>
      <c r="Q43" s="167"/>
      <c r="R43" s="167"/>
      <c r="S43" s="167"/>
    </row>
    <row r="44" spans="1:19" ht="15" customHeight="1" x14ac:dyDescent="0.3">
      <c r="A44" s="35"/>
      <c r="B44" s="35"/>
      <c r="C44" s="35"/>
      <c r="D44" s="35"/>
      <c r="E44" s="35"/>
      <c r="F44" s="35"/>
      <c r="G44" s="35"/>
      <c r="H44" s="35"/>
      <c r="I44" s="35"/>
      <c r="J44" s="35"/>
      <c r="K44" s="35"/>
      <c r="L44" s="35"/>
      <c r="M44" s="35"/>
      <c r="N44" s="35"/>
      <c r="O44" s="35"/>
      <c r="P44" s="35"/>
      <c r="Q44" s="167"/>
      <c r="R44" s="167"/>
      <c r="S44" s="167"/>
    </row>
    <row r="45" spans="1:19" ht="15" customHeight="1" x14ac:dyDescent="0.3">
      <c r="A45" s="35"/>
      <c r="B45" s="35"/>
      <c r="C45" s="35"/>
      <c r="D45" s="35"/>
      <c r="E45" s="35"/>
      <c r="F45" s="35"/>
      <c r="G45" s="35"/>
      <c r="H45" s="35"/>
      <c r="I45" s="35"/>
      <c r="J45" s="35"/>
      <c r="K45" s="35"/>
      <c r="L45" s="35"/>
      <c r="M45" s="35"/>
      <c r="N45" s="35"/>
      <c r="O45" s="35"/>
      <c r="P45" s="35"/>
      <c r="Q45" s="167"/>
      <c r="R45" s="167"/>
      <c r="S45" s="167"/>
    </row>
    <row r="46" spans="1:19" ht="15" customHeight="1" x14ac:dyDescent="0.3">
      <c r="A46" s="35"/>
      <c r="B46" s="35"/>
      <c r="C46" s="35"/>
      <c r="D46" s="35"/>
      <c r="E46" s="35"/>
      <c r="F46" s="35"/>
      <c r="G46" s="35"/>
      <c r="H46" s="35"/>
      <c r="I46" s="35"/>
      <c r="J46" s="35"/>
      <c r="K46" s="35"/>
      <c r="L46" s="35"/>
      <c r="M46" s="35"/>
      <c r="N46" s="35"/>
      <c r="O46" s="35"/>
      <c r="P46" s="35"/>
      <c r="Q46" s="167"/>
      <c r="R46" s="167"/>
      <c r="S46" s="167"/>
    </row>
    <row r="47" spans="1:19" ht="15" customHeight="1" x14ac:dyDescent="0.3">
      <c r="A47" s="35"/>
      <c r="B47" s="35"/>
      <c r="C47" s="35"/>
      <c r="D47" s="35"/>
      <c r="E47" s="35"/>
      <c r="F47" s="35"/>
      <c r="G47" s="35"/>
      <c r="H47" s="35"/>
      <c r="I47" s="35"/>
      <c r="J47" s="35"/>
      <c r="K47" s="35"/>
      <c r="L47" s="35"/>
      <c r="M47" s="35"/>
      <c r="N47" s="35"/>
      <c r="O47" s="35"/>
      <c r="P47" s="35"/>
      <c r="Q47" s="167"/>
      <c r="R47" s="167"/>
      <c r="S47" s="167"/>
    </row>
    <row r="48" spans="1:19" ht="15" customHeight="1" x14ac:dyDescent="0.3">
      <c r="A48" s="35"/>
      <c r="B48" s="35"/>
      <c r="C48" s="35"/>
      <c r="D48" s="35"/>
      <c r="E48" s="35"/>
      <c r="F48" s="35"/>
      <c r="G48" s="35"/>
      <c r="H48" s="35"/>
      <c r="I48" s="35"/>
      <c r="J48" s="35"/>
      <c r="K48" s="35"/>
      <c r="L48" s="35"/>
      <c r="M48" s="35"/>
      <c r="N48" s="35"/>
      <c r="O48" s="35"/>
      <c r="P48" s="35"/>
      <c r="Q48" s="167"/>
      <c r="R48" s="167"/>
      <c r="S48" s="167"/>
    </row>
    <row r="49" spans="1:55" ht="15" customHeight="1" x14ac:dyDescent="0.3">
      <c r="A49" s="35"/>
      <c r="B49" s="35"/>
      <c r="C49" s="35"/>
      <c r="D49" s="35"/>
      <c r="E49" s="35"/>
      <c r="F49" s="35"/>
      <c r="G49" s="35"/>
      <c r="H49" s="35"/>
      <c r="I49" s="35"/>
      <c r="J49" s="35"/>
      <c r="K49" s="35"/>
      <c r="L49" s="35"/>
      <c r="M49" s="35"/>
      <c r="N49" s="35"/>
      <c r="O49" s="35"/>
      <c r="P49" s="35"/>
      <c r="Q49" s="167"/>
      <c r="R49" s="167"/>
      <c r="S49" s="167"/>
    </row>
    <row r="50" spans="1:55" s="2" customFormat="1" ht="15" customHeight="1" x14ac:dyDescent="0.3">
      <c r="A50"/>
      <c r="B50" s="113"/>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row>
    <row r="51" spans="1:55" s="2" customFormat="1" ht="15" customHeight="1" x14ac:dyDescent="0.3">
      <c r="A51"/>
      <c r="B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row>
    <row r="52" spans="1:55" s="2" customFormat="1" ht="15" customHeight="1" x14ac:dyDescent="0.3">
      <c r="A52"/>
      <c r="B52" s="110"/>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row>
    <row r="53" spans="1:55" s="2" customFormat="1" ht="15" customHeight="1" x14ac:dyDescent="0.3">
      <c r="A53"/>
      <c r="B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row>
    <row r="54" spans="1:55" s="2" customFormat="1" ht="15" customHeight="1" x14ac:dyDescent="0.3">
      <c r="A54"/>
      <c r="B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row>
    <row r="55" spans="1:55" s="2" customFormat="1" ht="15" customHeight="1" x14ac:dyDescent="0.3">
      <c r="A55"/>
      <c r="B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row>
    <row r="56" spans="1:55" s="2" customFormat="1" ht="15" customHeight="1" x14ac:dyDescent="0.3">
      <c r="A56"/>
      <c r="B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row>
    <row r="57" spans="1:55" s="2" customFormat="1" ht="15" customHeight="1" x14ac:dyDescent="0.3">
      <c r="A57"/>
      <c r="B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row>
    <row r="58" spans="1:55" s="2" customFormat="1" ht="15" customHeight="1" x14ac:dyDescent="0.3">
      <c r="A58"/>
      <c r="B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row>
    <row r="59" spans="1:55" s="2" customFormat="1" ht="15" customHeight="1" x14ac:dyDescent="0.3">
      <c r="A59"/>
      <c r="B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row>
    <row r="60" spans="1:55" s="2" customFormat="1" ht="15" customHeight="1" x14ac:dyDescent="0.3">
      <c r="A60"/>
      <c r="B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row>
    <row r="61" spans="1:55" s="2" customFormat="1" ht="15" customHeight="1" x14ac:dyDescent="0.3">
      <c r="A61"/>
      <c r="B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row>
    <row r="62" spans="1:55" s="2" customFormat="1" ht="15" customHeight="1" x14ac:dyDescent="0.3">
      <c r="A62"/>
      <c r="B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row>
    <row r="63" spans="1:55" s="2" customFormat="1" ht="15" customHeight="1" x14ac:dyDescent="0.3">
      <c r="A63"/>
      <c r="B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row>
    <row r="64" spans="1:55" s="2" customFormat="1" ht="15" customHeight="1" x14ac:dyDescent="0.3">
      <c r="A64"/>
      <c r="B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row>
    <row r="65" spans="1:55" s="2" customFormat="1" ht="15" customHeight="1" x14ac:dyDescent="0.3">
      <c r="A65"/>
      <c r="B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row>
    <row r="66" spans="1:55" s="2" customFormat="1" ht="15" customHeight="1" x14ac:dyDescent="0.3">
      <c r="A66"/>
      <c r="B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row>
    <row r="67" spans="1:55" s="2" customFormat="1" ht="15" customHeight="1" x14ac:dyDescent="0.3">
      <c r="A67"/>
      <c r="B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row>
    <row r="68" spans="1:55" ht="15" customHeight="1" x14ac:dyDescent="0.3"/>
    <row r="69" spans="1:55" ht="15" customHeight="1" x14ac:dyDescent="0.3"/>
    <row r="70" spans="1:55" ht="15" customHeight="1" x14ac:dyDescent="0.3"/>
    <row r="71" spans="1:55" ht="15" customHeight="1" x14ac:dyDescent="0.3"/>
    <row r="72" spans="1:55" ht="15" customHeight="1" x14ac:dyDescent="0.3"/>
    <row r="73" spans="1:55" ht="15" customHeight="1" x14ac:dyDescent="0.3"/>
    <row r="74" spans="1:55" ht="15" customHeight="1" x14ac:dyDescent="0.3"/>
    <row r="75" spans="1:55" ht="15" customHeight="1" x14ac:dyDescent="0.3"/>
    <row r="76" spans="1:55" ht="15" customHeight="1" x14ac:dyDescent="0.3"/>
    <row r="77" spans="1:55" ht="15" customHeight="1" x14ac:dyDescent="0.3"/>
    <row r="78" spans="1:55" ht="15" customHeight="1" x14ac:dyDescent="0.3"/>
    <row r="79" spans="1:55" ht="15" customHeight="1" x14ac:dyDescent="0.3"/>
    <row r="80" spans="1:55"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75" customHeight="1" x14ac:dyDescent="0.3"/>
  </sheetData>
  <mergeCells count="1">
    <mergeCell ref="C9:P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33"/>
  </sheetPr>
  <dimension ref="A2:CS217"/>
  <sheetViews>
    <sheetView showGridLines="0" zoomScale="70" zoomScaleNormal="70" workbookViewId="0">
      <selection activeCell="C21" sqref="C21"/>
    </sheetView>
  </sheetViews>
  <sheetFormatPr defaultColWidth="8.88671875" defaultRowHeight="14.4" x14ac:dyDescent="0.3"/>
  <cols>
    <col min="1" max="1" width="2.88671875" customWidth="1"/>
    <col min="2" max="2" width="95.5546875" bestFit="1" customWidth="1"/>
    <col min="3" max="3" width="39.44140625" style="2" customWidth="1"/>
    <col min="4" max="7" width="39.44140625" customWidth="1"/>
    <col min="8" max="8" width="17" customWidth="1"/>
    <col min="9" max="13" width="10.44140625" bestFit="1" customWidth="1"/>
    <col min="14" max="14" width="8.44140625" customWidth="1"/>
    <col min="15" max="16" width="10.88671875" customWidth="1"/>
    <col min="18" max="19" width="8.88671875" customWidth="1"/>
    <col min="20" max="23" width="9" customWidth="1"/>
  </cols>
  <sheetData>
    <row r="2" spans="2:54" ht="24" thickBot="1" x14ac:dyDescent="0.5">
      <c r="B2" s="3" t="s">
        <v>424</v>
      </c>
      <c r="C2" s="4"/>
      <c r="D2" s="4"/>
    </row>
    <row r="4" spans="2:54" ht="18.600000000000001" customHeight="1" x14ac:dyDescent="0.3">
      <c r="B4" s="166"/>
      <c r="C4" s="167"/>
      <c r="E4" s="167"/>
      <c r="F4" s="167"/>
      <c r="G4" s="167"/>
      <c r="H4" s="167"/>
      <c r="I4" s="167"/>
      <c r="J4" s="167"/>
      <c r="K4" s="167"/>
      <c r="L4" s="167"/>
      <c r="M4" s="167"/>
      <c r="N4" s="167"/>
      <c r="O4" s="167"/>
      <c r="P4" s="167"/>
      <c r="Q4" s="167"/>
      <c r="R4" s="167"/>
      <c r="S4" s="167"/>
    </row>
    <row r="5" spans="2:54" x14ac:dyDescent="0.3">
      <c r="B5" s="168"/>
      <c r="C5" s="167"/>
      <c r="E5" s="167"/>
      <c r="F5" s="167"/>
      <c r="G5" s="167"/>
      <c r="H5" s="167"/>
      <c r="I5" s="167"/>
      <c r="J5" s="167"/>
      <c r="K5" s="167"/>
      <c r="L5" s="167"/>
      <c r="M5" s="167"/>
      <c r="N5" s="167"/>
      <c r="O5" s="167"/>
      <c r="P5" s="167"/>
      <c r="Q5" s="167"/>
      <c r="R5" s="167"/>
      <c r="S5" s="167"/>
    </row>
    <row r="6" spans="2:54" s="800" customFormat="1" ht="29.4" customHeight="1" x14ac:dyDescent="0.4">
      <c r="B6" s="307" t="s">
        <v>425</v>
      </c>
      <c r="C6" s="315"/>
      <c r="D6" s="315"/>
      <c r="E6" s="315"/>
      <c r="F6" s="315"/>
      <c r="G6" s="315"/>
      <c r="H6" s="315"/>
      <c r="I6" s="315"/>
      <c r="J6" s="315"/>
      <c r="K6" s="315"/>
      <c r="L6" s="315"/>
      <c r="M6" s="315"/>
      <c r="N6" s="315"/>
      <c r="O6" s="315"/>
      <c r="P6" s="315"/>
      <c r="Q6" s="315"/>
      <c r="R6" s="312"/>
      <c r="S6" s="312"/>
      <c r="T6" s="312"/>
      <c r="U6" s="312"/>
      <c r="V6" s="312"/>
      <c r="W6" s="312"/>
      <c r="X6" s="313"/>
      <c r="Y6" s="313"/>
      <c r="Z6" s="313"/>
      <c r="AA6" s="313"/>
      <c r="AB6" s="313"/>
      <c r="AC6" s="313"/>
      <c r="AD6" s="313"/>
      <c r="AE6" s="313"/>
      <c r="AF6" s="313"/>
      <c r="AG6" s="314"/>
      <c r="AH6" s="314"/>
      <c r="AI6" s="314"/>
      <c r="AJ6" s="314"/>
      <c r="AK6" s="314"/>
      <c r="AL6" s="314"/>
      <c r="AM6" s="314"/>
      <c r="AN6" s="314"/>
      <c r="AO6" s="314"/>
      <c r="AP6" s="314"/>
      <c r="AQ6" s="314"/>
      <c r="AR6" s="314"/>
      <c r="AS6" s="314"/>
      <c r="AT6" s="314"/>
      <c r="AU6" s="314"/>
      <c r="AV6" s="314"/>
      <c r="AW6" s="314"/>
      <c r="AX6" s="314"/>
      <c r="AY6" s="314"/>
      <c r="AZ6" s="314"/>
      <c r="BA6" s="314"/>
      <c r="BB6" s="314"/>
    </row>
    <row r="7" spans="2:54" x14ac:dyDescent="0.3">
      <c r="B7" s="169"/>
      <c r="C7"/>
      <c r="E7" s="29"/>
      <c r="F7" s="29"/>
      <c r="G7" s="29"/>
      <c r="H7" s="29"/>
      <c r="I7" s="297"/>
      <c r="J7" s="297"/>
      <c r="K7" s="297"/>
      <c r="L7" s="297"/>
      <c r="M7" s="167"/>
      <c r="N7" s="167"/>
      <c r="O7" s="167"/>
      <c r="P7" s="167"/>
      <c r="Q7" s="167"/>
      <c r="R7" s="167"/>
      <c r="S7" s="167"/>
      <c r="T7" s="167"/>
      <c r="U7" s="167"/>
    </row>
    <row r="8" spans="2:54" x14ac:dyDescent="0.3">
      <c r="B8" s="169"/>
      <c r="C8"/>
      <c r="D8" s="297"/>
      <c r="E8" s="29"/>
      <c r="F8" s="29"/>
      <c r="G8" s="29"/>
      <c r="H8" s="29"/>
      <c r="I8" s="297"/>
      <c r="J8" s="297"/>
      <c r="K8" s="297"/>
      <c r="L8" s="297"/>
      <c r="M8" s="167"/>
      <c r="N8" s="167"/>
      <c r="O8" s="167"/>
      <c r="P8" s="167"/>
      <c r="Q8" s="167"/>
      <c r="R8" s="167"/>
      <c r="S8" s="167"/>
      <c r="T8" s="167"/>
      <c r="U8" s="167"/>
    </row>
    <row r="9" spans="2:54" x14ac:dyDescent="0.3">
      <c r="B9" s="169"/>
      <c r="C9" s="1063"/>
      <c r="D9" s="1063"/>
      <c r="E9" s="29"/>
      <c r="F9" s="29"/>
      <c r="G9" s="29"/>
      <c r="H9" s="29"/>
      <c r="I9" s="297"/>
      <c r="J9" s="297"/>
      <c r="K9" s="297"/>
      <c r="L9" s="297"/>
      <c r="M9" s="167"/>
      <c r="N9" s="167"/>
      <c r="O9" s="167"/>
      <c r="P9" s="167"/>
      <c r="Q9" s="167"/>
      <c r="R9" s="167"/>
      <c r="S9" s="167"/>
      <c r="T9" s="167"/>
      <c r="U9" s="167"/>
    </row>
    <row r="10" spans="2:54" x14ac:dyDescent="0.3">
      <c r="B10" s="169"/>
      <c r="C10"/>
      <c r="E10" s="29"/>
    </row>
    <row r="11" spans="2:54" x14ac:dyDescent="0.3">
      <c r="B11" s="169"/>
      <c r="C11"/>
      <c r="E11" s="297"/>
      <c r="F11" s="297">
        <v>2020</v>
      </c>
      <c r="G11" s="297">
        <v>2021</v>
      </c>
      <c r="H11" s="297">
        <v>2022</v>
      </c>
      <c r="I11" s="297">
        <v>2023</v>
      </c>
      <c r="J11" s="297">
        <v>2024</v>
      </c>
      <c r="K11" s="297">
        <v>2025</v>
      </c>
      <c r="L11" s="297">
        <v>2026</v>
      </c>
      <c r="M11" s="297">
        <v>2027</v>
      </c>
      <c r="N11" s="297">
        <v>2028</v>
      </c>
      <c r="O11" s="297">
        <v>2029</v>
      </c>
      <c r="P11" s="297">
        <v>2030</v>
      </c>
      <c r="Q11" s="297">
        <v>2031</v>
      </c>
      <c r="R11" s="297">
        <v>2032</v>
      </c>
      <c r="S11" s="297">
        <v>2033</v>
      </c>
      <c r="T11" s="297">
        <v>2034</v>
      </c>
      <c r="U11" s="297">
        <v>2035</v>
      </c>
    </row>
    <row r="12" spans="2:54" x14ac:dyDescent="0.3">
      <c r="B12" s="169"/>
      <c r="C12" s="33" t="s">
        <v>426</v>
      </c>
    </row>
    <row r="13" spans="2:54" x14ac:dyDescent="0.3">
      <c r="B13" s="169"/>
      <c r="C13" s="167"/>
      <c r="D13" s="300" t="s">
        <v>427</v>
      </c>
    </row>
    <row r="14" spans="2:54" ht="15" customHeight="1" x14ac:dyDescent="0.3">
      <c r="B14" s="169"/>
      <c r="C14" s="167"/>
      <c r="D14" s="731" t="s">
        <v>428</v>
      </c>
      <c r="F14" s="985">
        <f>478000/(1000000)</f>
        <v>0.47799999999999998</v>
      </c>
      <c r="G14" s="985">
        <f>1076000/(1000000)</f>
        <v>1.0760000000000001</v>
      </c>
      <c r="H14" s="985">
        <f>1325000/(1000000)</f>
        <v>1.325</v>
      </c>
      <c r="I14" s="985">
        <f>2238000/(1000000)</f>
        <v>2.238</v>
      </c>
      <c r="J14" s="985">
        <f>3161000/(1000000)</f>
        <v>3.161</v>
      </c>
      <c r="K14" s="985">
        <f>3476000/(1000000)</f>
        <v>3.476</v>
      </c>
      <c r="L14" s="985">
        <f>3790000/(1000000)</f>
        <v>3.79</v>
      </c>
      <c r="M14" s="985">
        <f>4104000/(1000000)</f>
        <v>4.1040000000000001</v>
      </c>
      <c r="N14" s="985">
        <f>4419000/(1000000)</f>
        <v>4.4189999999999996</v>
      </c>
      <c r="O14" s="985">
        <f>4733000/(1000000)</f>
        <v>4.7329999999999997</v>
      </c>
      <c r="P14" s="985">
        <f>4903000/(1000000)</f>
        <v>4.9029999999999996</v>
      </c>
      <c r="Q14" s="985">
        <f>5073000/(1000000)</f>
        <v>5.0730000000000004</v>
      </c>
      <c r="R14" s="985">
        <f>5243000/(1000000)</f>
        <v>5.2430000000000003</v>
      </c>
      <c r="S14" s="985">
        <f>5413000/(1000000)</f>
        <v>5.4130000000000003</v>
      </c>
      <c r="T14" s="985">
        <f>5583000/(1000000)</f>
        <v>5.5830000000000002</v>
      </c>
      <c r="U14" s="985">
        <f>5753000/(1000000)</f>
        <v>5.7530000000000001</v>
      </c>
    </row>
    <row r="15" spans="2:54" ht="15" customHeight="1" x14ac:dyDescent="0.3">
      <c r="B15" s="169"/>
      <c r="C15" s="167"/>
      <c r="E15" s="732" t="s">
        <v>429</v>
      </c>
      <c r="F15" s="985">
        <f>478000/(1000000)</f>
        <v>0.47799999999999998</v>
      </c>
      <c r="G15" s="985">
        <f>1046000/(1000000)</f>
        <v>1.046</v>
      </c>
      <c r="H15" s="985">
        <f>1200000/(1000000)</f>
        <v>1.2</v>
      </c>
      <c r="I15" s="985">
        <f>1943000/(1000000)</f>
        <v>1.9430000000000001</v>
      </c>
      <c r="J15" s="985">
        <f>2686000/(1000000)</f>
        <v>2.6859999999999999</v>
      </c>
      <c r="K15" s="985">
        <f>2821000/(1000000)</f>
        <v>2.8210000000000002</v>
      </c>
      <c r="L15" s="985">
        <f>2955000/(1000000)</f>
        <v>2.9550000000000001</v>
      </c>
      <c r="M15" s="985">
        <f>3089000/(1000000)</f>
        <v>3.089</v>
      </c>
      <c r="N15" s="985">
        <f>3224000/(1000000)</f>
        <v>3.2240000000000002</v>
      </c>
      <c r="O15" s="985">
        <f t="shared" ref="O15:U15" si="0">3358000/(1000000)</f>
        <v>3.3580000000000001</v>
      </c>
      <c r="P15" s="985">
        <f t="shared" si="0"/>
        <v>3.3580000000000001</v>
      </c>
      <c r="Q15" s="985">
        <f t="shared" si="0"/>
        <v>3.3580000000000001</v>
      </c>
      <c r="R15" s="985">
        <f t="shared" si="0"/>
        <v>3.3580000000000001</v>
      </c>
      <c r="S15" s="985">
        <f t="shared" si="0"/>
        <v>3.3580000000000001</v>
      </c>
      <c r="T15" s="985">
        <f t="shared" si="0"/>
        <v>3.3580000000000001</v>
      </c>
      <c r="U15" s="985">
        <f t="shared" si="0"/>
        <v>3.3580000000000001</v>
      </c>
    </row>
    <row r="16" spans="2:54" ht="15" customHeight="1" x14ac:dyDescent="0.3">
      <c r="B16" s="169"/>
      <c r="C16" s="167"/>
      <c r="E16" s="732" t="s">
        <v>430</v>
      </c>
      <c r="F16" s="985">
        <f>0/(1000000)</f>
        <v>0</v>
      </c>
      <c r="G16" s="985">
        <f>0/(1000000)</f>
        <v>0</v>
      </c>
      <c r="H16" s="985">
        <f>90000/(1000000)</f>
        <v>0.09</v>
      </c>
      <c r="I16" s="985">
        <f>220000/(1000000)</f>
        <v>0.22</v>
      </c>
      <c r="J16" s="985">
        <f>350000/(1000000)</f>
        <v>0.35</v>
      </c>
      <c r="K16" s="985">
        <f>480000/(1000000)</f>
        <v>0.48</v>
      </c>
      <c r="L16" s="985">
        <f>610000/(1000000)</f>
        <v>0.61</v>
      </c>
      <c r="M16" s="985">
        <f>740000/(1000000)</f>
        <v>0.74</v>
      </c>
      <c r="N16" s="985">
        <f>870000/(1000000)</f>
        <v>0.87</v>
      </c>
      <c r="O16" s="985">
        <f>1000000/(1000000)</f>
        <v>1</v>
      </c>
      <c r="P16" s="985">
        <f>1120000/(1000000)</f>
        <v>1.1200000000000001</v>
      </c>
      <c r="Q16" s="985">
        <f>1240000/(1000000)</f>
        <v>1.24</v>
      </c>
      <c r="R16" s="985">
        <f>1360000/(1000000)</f>
        <v>1.36</v>
      </c>
      <c r="S16" s="985">
        <f>1480000/(1000000)</f>
        <v>1.48</v>
      </c>
      <c r="T16" s="985">
        <f>1600000/(1000000)</f>
        <v>1.6</v>
      </c>
      <c r="U16" s="985">
        <f>1720000/(1000000)</f>
        <v>1.72</v>
      </c>
    </row>
    <row r="17" spans="2:97" ht="15" customHeight="1" x14ac:dyDescent="0.3">
      <c r="B17" s="169"/>
      <c r="C17" s="167"/>
      <c r="E17" s="732" t="s">
        <v>431</v>
      </c>
      <c r="F17" s="985">
        <f>0/(1000000)</f>
        <v>0</v>
      </c>
      <c r="G17" s="985">
        <f>30000/(1000000)</f>
        <v>0.03</v>
      </c>
      <c r="H17" s="985">
        <f>35000/(1000000)</f>
        <v>3.5000000000000003E-2</v>
      </c>
      <c r="I17" s="985">
        <f>75000/(1000000)</f>
        <v>7.4999999999999997E-2</v>
      </c>
      <c r="J17" s="985">
        <f>125000/(1000000)</f>
        <v>0.125</v>
      </c>
      <c r="K17" s="985">
        <f>175000/(1000000)</f>
        <v>0.17499999999999999</v>
      </c>
      <c r="L17" s="985">
        <f>225000/(1000000)</f>
        <v>0.22500000000000001</v>
      </c>
      <c r="M17" s="985">
        <f>275000/(1000000)</f>
        <v>0.27500000000000002</v>
      </c>
      <c r="N17" s="985">
        <f>325000/(1000000)</f>
        <v>0.32500000000000001</v>
      </c>
      <c r="O17" s="985">
        <f>375000/(1000000)</f>
        <v>0.375</v>
      </c>
      <c r="P17" s="985">
        <f>425000/(1000000)</f>
        <v>0.42499999999999999</v>
      </c>
      <c r="Q17" s="985">
        <f>475000/(1000000)</f>
        <v>0.47499999999999998</v>
      </c>
      <c r="R17" s="985">
        <f>525000/(1000000)</f>
        <v>0.52500000000000002</v>
      </c>
      <c r="S17" s="985">
        <f>575000/(1000000)</f>
        <v>0.57499999999999996</v>
      </c>
      <c r="T17" s="985">
        <f>625000/(1000000)</f>
        <v>0.625</v>
      </c>
      <c r="U17" s="985">
        <f>675000/(1000000)</f>
        <v>0.67500000000000004</v>
      </c>
    </row>
    <row r="18" spans="2:97" ht="15" customHeight="1" x14ac:dyDescent="0.3">
      <c r="C18" s="167"/>
      <c r="D18" s="300"/>
      <c r="E18" s="734"/>
      <c r="F18" s="985">
        <f>0/(1000000)</f>
        <v>0</v>
      </c>
      <c r="G18" s="985">
        <f t="shared" ref="G18:U18" si="1">0/(1000000)</f>
        <v>0</v>
      </c>
      <c r="H18" s="985">
        <f t="shared" si="1"/>
        <v>0</v>
      </c>
      <c r="I18" s="985">
        <f t="shared" si="1"/>
        <v>0</v>
      </c>
      <c r="J18" s="985">
        <f t="shared" si="1"/>
        <v>0</v>
      </c>
      <c r="K18" s="985">
        <f t="shared" si="1"/>
        <v>0</v>
      </c>
      <c r="L18" s="985">
        <f t="shared" si="1"/>
        <v>0</v>
      </c>
      <c r="M18" s="985">
        <f t="shared" si="1"/>
        <v>0</v>
      </c>
      <c r="N18" s="985">
        <f t="shared" si="1"/>
        <v>0</v>
      </c>
      <c r="O18" s="985">
        <f t="shared" si="1"/>
        <v>0</v>
      </c>
      <c r="P18" s="985">
        <f t="shared" si="1"/>
        <v>0</v>
      </c>
      <c r="Q18" s="985">
        <f t="shared" si="1"/>
        <v>0</v>
      </c>
      <c r="R18" s="985">
        <f t="shared" si="1"/>
        <v>0</v>
      </c>
      <c r="S18" s="985">
        <f t="shared" si="1"/>
        <v>0</v>
      </c>
      <c r="T18" s="985">
        <f t="shared" si="1"/>
        <v>0</v>
      </c>
      <c r="U18" s="985">
        <f t="shared" si="1"/>
        <v>0</v>
      </c>
    </row>
    <row r="19" spans="2:97" ht="15" customHeight="1" x14ac:dyDescent="0.35">
      <c r="B19" s="170"/>
      <c r="D19" s="299" t="s">
        <v>432</v>
      </c>
      <c r="E19" s="735"/>
      <c r="F19" s="985">
        <f>329000/(1000000)</f>
        <v>0.32900000000000001</v>
      </c>
      <c r="G19" s="985">
        <f>448000/(1000000)</f>
        <v>0.44800000000000001</v>
      </c>
      <c r="H19" s="985">
        <f>584000/(1000000)</f>
        <v>0.58399999999999996</v>
      </c>
      <c r="I19" s="985">
        <f>729000/(1000000)</f>
        <v>0.72899999999999998</v>
      </c>
      <c r="J19" s="985">
        <f>888000/(1000000)</f>
        <v>0.88800000000000001</v>
      </c>
      <c r="K19" s="985">
        <f>1058000/(1000000)</f>
        <v>1.0580000000000001</v>
      </c>
      <c r="L19" s="985">
        <f>1234000/(1000000)</f>
        <v>1.234</v>
      </c>
      <c r="M19" s="985">
        <f>1417000/(1000000)</f>
        <v>1.417</v>
      </c>
      <c r="N19" s="985">
        <f>1606000/(1000000)</f>
        <v>1.6060000000000001</v>
      </c>
      <c r="O19" s="985">
        <f>1799000/(1000000)</f>
        <v>1.7989999999999999</v>
      </c>
      <c r="P19" s="985">
        <f>1996000/(1000000)</f>
        <v>1.996</v>
      </c>
      <c r="Q19" s="985">
        <f>2199000/(1000000)</f>
        <v>2.1989999999999998</v>
      </c>
      <c r="R19" s="985">
        <f>2409000/(1000000)</f>
        <v>2.4089999999999998</v>
      </c>
      <c r="S19" s="985">
        <f>2622000/(1000000)</f>
        <v>2.6219999999999999</v>
      </c>
      <c r="T19" s="985">
        <f>2840000/(1000000)</f>
        <v>2.84</v>
      </c>
      <c r="U19" s="985">
        <f>3062000/(1000000)</f>
        <v>3.0619999999999998</v>
      </c>
    </row>
    <row r="20" spans="2:97" ht="15" customHeight="1" x14ac:dyDescent="0.3">
      <c r="B20" s="144"/>
      <c r="C20" s="171"/>
      <c r="D20" s="301" t="s">
        <v>433</v>
      </c>
      <c r="E20" s="737"/>
      <c r="F20" s="985">
        <f>5000/(1000000)</f>
        <v>5.0000000000000001E-3</v>
      </c>
      <c r="G20" s="985">
        <f>10000/(1000000)</f>
        <v>0.01</v>
      </c>
      <c r="H20" s="985">
        <f>16000/(1000000)</f>
        <v>1.6E-2</v>
      </c>
      <c r="I20" s="985">
        <f>24000/(1000000)</f>
        <v>2.4E-2</v>
      </c>
      <c r="J20" s="985">
        <f>34000/(1000000)</f>
        <v>3.4000000000000002E-2</v>
      </c>
      <c r="K20" s="985">
        <f>45000/(1000000)</f>
        <v>4.4999999999999998E-2</v>
      </c>
      <c r="L20" s="985">
        <f>60000/(1000000)</f>
        <v>0.06</v>
      </c>
      <c r="M20" s="985">
        <f>78000/(1000000)</f>
        <v>7.8E-2</v>
      </c>
      <c r="N20" s="985">
        <f>99000/(1000000)</f>
        <v>9.9000000000000005E-2</v>
      </c>
      <c r="O20" s="985">
        <f>124000/(1000000)</f>
        <v>0.124</v>
      </c>
      <c r="P20" s="985">
        <f>153000/(1000000)</f>
        <v>0.153</v>
      </c>
      <c r="Q20" s="985">
        <f>190000/(1000000)</f>
        <v>0.19</v>
      </c>
      <c r="R20" s="985">
        <f>236000/(1000000)</f>
        <v>0.23599999999999999</v>
      </c>
      <c r="S20" s="985">
        <f>296000/(1000000)</f>
        <v>0.29599999999999999</v>
      </c>
      <c r="T20" s="985">
        <f>373000/(1000000)</f>
        <v>0.373</v>
      </c>
      <c r="U20" s="985">
        <f>473000/(1000000)</f>
        <v>0.47299999999999998</v>
      </c>
    </row>
    <row r="21" spans="2:97" ht="15" customHeight="1" x14ac:dyDescent="0.3">
      <c r="C21" s="171"/>
      <c r="E21" s="738"/>
      <c r="F21" s="739"/>
      <c r="G21" s="739"/>
      <c r="H21" s="739"/>
      <c r="I21" s="740"/>
      <c r="J21" s="740"/>
      <c r="K21" s="740"/>
      <c r="L21" s="740"/>
      <c r="M21" s="740"/>
      <c r="N21" s="740"/>
      <c r="O21" s="740"/>
      <c r="P21" s="740"/>
      <c r="Q21" s="740"/>
      <c r="R21" s="740"/>
      <c r="S21" s="740"/>
      <c r="T21" s="740"/>
      <c r="U21" s="740"/>
    </row>
    <row r="22" spans="2:97" ht="15" customHeight="1" x14ac:dyDescent="0.3">
      <c r="E22" s="76"/>
      <c r="F22" s="740"/>
      <c r="G22" s="740"/>
      <c r="H22" s="740"/>
      <c r="I22" s="740"/>
      <c r="J22" s="740"/>
      <c r="K22" s="740"/>
      <c r="L22" s="740"/>
      <c r="M22" s="740"/>
      <c r="N22" s="740"/>
      <c r="O22" s="740"/>
      <c r="P22" s="740"/>
      <c r="Q22" s="740"/>
      <c r="R22" s="740"/>
      <c r="S22" s="740"/>
      <c r="T22" s="740"/>
      <c r="U22" s="740"/>
    </row>
    <row r="23" spans="2:97" ht="15" customHeight="1" x14ac:dyDescent="0.3">
      <c r="C23" s="302" t="s">
        <v>434</v>
      </c>
      <c r="D23" s="298"/>
      <c r="E23" s="165"/>
      <c r="F23" s="740"/>
      <c r="G23" s="740"/>
      <c r="H23" s="740"/>
      <c r="I23" s="740"/>
      <c r="J23" s="740"/>
      <c r="K23" s="740"/>
      <c r="L23" s="740"/>
      <c r="M23" s="741"/>
      <c r="N23" s="741"/>
      <c r="O23" s="741"/>
      <c r="P23" s="740"/>
      <c r="Q23" s="740"/>
      <c r="R23" s="740"/>
      <c r="S23" s="740"/>
      <c r="T23" s="740"/>
      <c r="U23" s="740"/>
    </row>
    <row r="24" spans="2:97" ht="15" customHeight="1" x14ac:dyDescent="0.3">
      <c r="B24" s="2"/>
      <c r="C24" s="130"/>
      <c r="E24" s="742"/>
      <c r="F24" s="740"/>
      <c r="G24" s="303"/>
      <c r="H24" s="303"/>
      <c r="I24" s="303"/>
      <c r="J24" s="303"/>
      <c r="K24" s="303"/>
      <c r="L24" s="303"/>
      <c r="M24" s="303"/>
      <c r="N24" s="303"/>
      <c r="O24" s="740"/>
      <c r="P24" s="740"/>
      <c r="Q24" s="740"/>
      <c r="R24" s="740"/>
      <c r="S24" s="740"/>
      <c r="T24" s="740"/>
      <c r="U24" s="740"/>
    </row>
    <row r="25" spans="2:97" ht="15" customHeight="1" x14ac:dyDescent="0.3">
      <c r="B25" s="2"/>
      <c r="C25" s="172"/>
      <c r="D25" t="s">
        <v>435</v>
      </c>
      <c r="E25" s="76"/>
      <c r="F25" s="740"/>
      <c r="G25" s="733">
        <v>81000</v>
      </c>
      <c r="H25" s="733">
        <v>128000</v>
      </c>
      <c r="I25" s="733">
        <v>200000</v>
      </c>
      <c r="J25" s="733">
        <v>288000</v>
      </c>
      <c r="K25" s="733">
        <v>382000</v>
      </c>
      <c r="L25" s="733">
        <v>474000</v>
      </c>
      <c r="M25" s="733">
        <v>567000</v>
      </c>
      <c r="N25" s="733">
        <v>651000</v>
      </c>
      <c r="O25" s="733">
        <v>726000</v>
      </c>
      <c r="P25" s="733">
        <v>799000</v>
      </c>
      <c r="Q25" s="733">
        <v>877000</v>
      </c>
      <c r="R25" s="733">
        <v>952000</v>
      </c>
      <c r="S25" s="733">
        <v>1024000</v>
      </c>
      <c r="T25" s="733">
        <v>1095000</v>
      </c>
      <c r="U25" s="733">
        <v>1165000</v>
      </c>
    </row>
    <row r="26" spans="2:97" s="306" customFormat="1" ht="21" x14ac:dyDescent="0.4">
      <c r="B26" s="2"/>
      <c r="C26" s="172"/>
      <c r="D26" t="s">
        <v>436</v>
      </c>
      <c r="E26" s="76"/>
      <c r="F26" s="740"/>
      <c r="G26" s="736">
        <v>41000</v>
      </c>
      <c r="H26" s="736">
        <v>42000</v>
      </c>
      <c r="I26" s="736">
        <v>46000</v>
      </c>
      <c r="J26" s="736">
        <v>50000</v>
      </c>
      <c r="K26" s="736">
        <v>51000</v>
      </c>
      <c r="L26" s="736">
        <v>27000</v>
      </c>
      <c r="M26" s="736">
        <v>23000</v>
      </c>
      <c r="N26" s="736">
        <v>16000</v>
      </c>
      <c r="O26" s="736">
        <v>9000</v>
      </c>
      <c r="P26" s="736">
        <v>5000</v>
      </c>
      <c r="Q26" s="736">
        <v>4000</v>
      </c>
      <c r="R26" s="736">
        <v>4000</v>
      </c>
      <c r="S26" s="736">
        <v>4000</v>
      </c>
      <c r="T26" s="736">
        <v>4000</v>
      </c>
      <c r="U26" s="736">
        <v>3000</v>
      </c>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row>
    <row r="27" spans="2:97" ht="15" customHeight="1" x14ac:dyDescent="0.3">
      <c r="B27" s="2"/>
      <c r="C27" s="172"/>
      <c r="D27" t="s">
        <v>437</v>
      </c>
      <c r="E27" s="76"/>
      <c r="F27" s="740"/>
      <c r="G27" s="733">
        <v>40000</v>
      </c>
      <c r="H27" s="733">
        <v>85000</v>
      </c>
      <c r="I27" s="733">
        <v>154000</v>
      </c>
      <c r="J27" s="733">
        <v>236000</v>
      </c>
      <c r="K27" s="733">
        <v>329000</v>
      </c>
      <c r="L27" s="733">
        <v>444000</v>
      </c>
      <c r="M27" s="733">
        <v>537000</v>
      </c>
      <c r="N27" s="733">
        <v>622000</v>
      </c>
      <c r="O27" s="733">
        <v>696000</v>
      </c>
      <c r="P27" s="733">
        <v>759000</v>
      </c>
      <c r="Q27" s="733">
        <v>822000</v>
      </c>
      <c r="R27" s="733">
        <v>880000</v>
      </c>
      <c r="S27" s="733">
        <v>933000</v>
      </c>
      <c r="T27" s="733">
        <v>984000</v>
      </c>
      <c r="U27" s="733">
        <v>1033000</v>
      </c>
    </row>
    <row r="28" spans="2:97" ht="15" customHeight="1" x14ac:dyDescent="0.3">
      <c r="B28" s="2"/>
      <c r="C28" s="172"/>
      <c r="D28" t="s">
        <v>438</v>
      </c>
      <c r="E28" s="76"/>
      <c r="F28" s="740"/>
      <c r="G28" s="736">
        <v>0</v>
      </c>
      <c r="H28" s="736">
        <v>40</v>
      </c>
      <c r="I28" s="736">
        <v>160</v>
      </c>
      <c r="J28" s="736">
        <v>800</v>
      </c>
      <c r="K28" s="736">
        <v>2000</v>
      </c>
      <c r="L28" s="736">
        <v>4000</v>
      </c>
      <c r="M28" s="736">
        <v>7000</v>
      </c>
      <c r="N28" s="736">
        <v>13000</v>
      </c>
      <c r="O28" s="736">
        <v>21000</v>
      </c>
      <c r="P28" s="736">
        <v>35000</v>
      </c>
      <c r="Q28" s="736">
        <v>51000</v>
      </c>
      <c r="R28" s="736">
        <v>68000</v>
      </c>
      <c r="S28" s="736">
        <v>87000</v>
      </c>
      <c r="T28" s="736">
        <v>107000</v>
      </c>
      <c r="U28" s="736">
        <v>128000</v>
      </c>
    </row>
    <row r="29" spans="2:97" ht="15" customHeight="1" x14ac:dyDescent="0.3">
      <c r="B29" s="30"/>
      <c r="C29" s="172"/>
      <c r="D29" s="299"/>
      <c r="E29" s="2"/>
      <c r="F29" s="299"/>
      <c r="G29" s="299"/>
      <c r="H29" s="299"/>
      <c r="I29" s="299"/>
      <c r="J29" s="299"/>
      <c r="K29" s="299"/>
      <c r="L29" s="299"/>
      <c r="M29" s="299"/>
      <c r="N29" s="299"/>
      <c r="O29" s="299"/>
      <c r="P29" s="299"/>
      <c r="Q29" s="299"/>
      <c r="R29" s="299"/>
      <c r="S29" s="299"/>
      <c r="T29" s="299"/>
      <c r="U29" s="299"/>
      <c r="W29" s="76"/>
      <c r="X29" s="76"/>
      <c r="Y29" s="76"/>
      <c r="Z29" s="76"/>
      <c r="AA29" s="76"/>
      <c r="AB29" s="76"/>
      <c r="AC29" s="76"/>
      <c r="AD29" s="76"/>
      <c r="AE29" s="76"/>
    </row>
    <row r="30" spans="2:97" ht="15" customHeight="1" x14ac:dyDescent="0.3">
      <c r="B30" s="30"/>
      <c r="C30" s="172"/>
      <c r="D30" s="299"/>
      <c r="E30" s="2"/>
      <c r="G30" s="743"/>
      <c r="H30" s="743"/>
      <c r="I30" s="743"/>
      <c r="J30" s="743"/>
      <c r="K30" s="743"/>
      <c r="L30" s="743"/>
      <c r="M30" s="743"/>
      <c r="N30" s="743"/>
      <c r="O30" s="743"/>
      <c r="P30" s="743"/>
      <c r="Q30" s="743"/>
      <c r="R30" s="743"/>
      <c r="S30" s="743"/>
      <c r="T30" s="743"/>
      <c r="U30" s="743"/>
      <c r="V30" s="2"/>
      <c r="W30" s="76"/>
      <c r="X30" s="76"/>
      <c r="Y30" s="76"/>
      <c r="Z30" s="76"/>
      <c r="AA30" s="76"/>
      <c r="AB30" s="76"/>
      <c r="AC30" s="76"/>
      <c r="AD30" s="76"/>
      <c r="AE30" s="76"/>
    </row>
    <row r="31" spans="2:97" ht="15" customHeight="1" x14ac:dyDescent="0.3">
      <c r="B31" s="30"/>
      <c r="C31" s="172"/>
      <c r="D31" s="2"/>
      <c r="E31" s="2"/>
      <c r="G31" s="743"/>
      <c r="H31" s="743"/>
      <c r="I31" s="743"/>
      <c r="J31" s="743"/>
      <c r="K31" s="743"/>
      <c r="L31" s="743"/>
      <c r="M31" s="743"/>
      <c r="N31" s="743"/>
      <c r="O31" s="743"/>
      <c r="P31" s="743"/>
      <c r="Q31" s="743"/>
      <c r="R31" s="743"/>
      <c r="S31" s="743"/>
      <c r="T31" s="743"/>
      <c r="U31" s="743"/>
      <c r="V31" s="2"/>
      <c r="W31" s="76"/>
      <c r="X31" s="76"/>
      <c r="Y31" s="76"/>
      <c r="Z31" s="76"/>
      <c r="AA31" s="76"/>
      <c r="AB31" s="76"/>
      <c r="AC31" s="76"/>
      <c r="AD31" s="76"/>
      <c r="AE31" s="76"/>
    </row>
    <row r="32" spans="2:97" ht="13.35" customHeight="1" x14ac:dyDescent="0.3">
      <c r="B32" s="30"/>
      <c r="C32" s="172"/>
      <c r="D32" s="2"/>
      <c r="E32" s="2"/>
      <c r="H32" s="2"/>
      <c r="I32" s="2"/>
      <c r="J32" s="2"/>
      <c r="K32" s="2"/>
      <c r="L32" s="2"/>
      <c r="M32" s="2"/>
      <c r="N32" s="2"/>
      <c r="O32" s="2"/>
      <c r="P32" s="2"/>
      <c r="Q32" s="2"/>
      <c r="R32" s="2"/>
      <c r="S32" s="2"/>
      <c r="T32" s="2"/>
      <c r="U32" s="2"/>
      <c r="V32" s="2"/>
      <c r="W32" s="76"/>
      <c r="X32" s="76"/>
      <c r="Y32" s="76"/>
      <c r="Z32" s="76"/>
      <c r="AA32" s="76"/>
      <c r="AB32" s="76"/>
      <c r="AC32" s="76"/>
      <c r="AD32" s="76"/>
      <c r="AE32" s="76"/>
    </row>
    <row r="33" spans="1:97" s="801" customFormat="1" ht="29.4" customHeight="1" x14ac:dyDescent="0.4">
      <c r="A33" s="799"/>
      <c r="B33" s="307" t="s">
        <v>439</v>
      </c>
      <c r="C33" s="308"/>
      <c r="D33" s="309"/>
      <c r="E33" s="309"/>
      <c r="F33" s="309"/>
      <c r="G33" s="309"/>
      <c r="H33" s="310"/>
      <c r="I33" s="310"/>
      <c r="J33" s="310"/>
      <c r="K33" s="310"/>
      <c r="L33" s="310"/>
      <c r="M33" s="310"/>
      <c r="N33" s="310"/>
      <c r="O33" s="310"/>
      <c r="P33" s="310"/>
      <c r="Q33" s="311"/>
      <c r="R33" s="312"/>
      <c r="S33" s="312"/>
      <c r="T33" s="312"/>
      <c r="U33" s="312"/>
      <c r="V33" s="312"/>
      <c r="W33" s="312"/>
      <c r="X33" s="313"/>
      <c r="Y33" s="313"/>
      <c r="Z33" s="313"/>
      <c r="AA33" s="313"/>
      <c r="AB33" s="313"/>
      <c r="AC33" s="313"/>
      <c r="AD33" s="313"/>
      <c r="AE33" s="313"/>
      <c r="AF33" s="313"/>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800"/>
      <c r="BE33" s="800"/>
      <c r="BF33" s="800"/>
      <c r="BG33" s="800"/>
      <c r="BH33" s="800"/>
      <c r="BI33" s="800"/>
      <c r="BJ33" s="800"/>
      <c r="BK33" s="800"/>
      <c r="BL33" s="800"/>
      <c r="BM33" s="800"/>
      <c r="BN33" s="800"/>
      <c r="BO33" s="800"/>
      <c r="BP33" s="800"/>
      <c r="BQ33" s="800"/>
      <c r="BR33" s="800"/>
      <c r="BS33" s="800"/>
      <c r="BT33" s="800"/>
      <c r="BU33" s="800"/>
      <c r="BV33" s="800"/>
      <c r="BW33" s="800"/>
      <c r="BX33" s="800"/>
      <c r="BY33" s="800"/>
      <c r="BZ33" s="800"/>
      <c r="CA33" s="800"/>
      <c r="CB33" s="800"/>
      <c r="CC33" s="800"/>
      <c r="CD33" s="800"/>
      <c r="CE33" s="800"/>
      <c r="CF33" s="800"/>
      <c r="CG33" s="800"/>
      <c r="CH33" s="800"/>
      <c r="CI33" s="800"/>
      <c r="CJ33" s="800"/>
      <c r="CK33" s="800"/>
      <c r="CL33" s="800"/>
      <c r="CM33" s="800"/>
      <c r="CN33" s="800"/>
      <c r="CO33" s="800"/>
      <c r="CP33" s="800"/>
      <c r="CQ33" s="800"/>
      <c r="CR33" s="800"/>
      <c r="CS33" s="800"/>
    </row>
    <row r="34" spans="1:97" ht="15" customHeight="1" x14ac:dyDescent="0.4">
      <c r="A34" s="35"/>
      <c r="B34" s="744"/>
      <c r="C34" s="745"/>
      <c r="D34" s="746"/>
      <c r="E34" s="746"/>
      <c r="F34" s="746"/>
      <c r="G34" s="746"/>
      <c r="H34" s="747"/>
      <c r="I34" s="747"/>
      <c r="J34" s="747"/>
      <c r="K34" s="747"/>
      <c r="L34" s="747"/>
      <c r="M34" s="747"/>
      <c r="N34" s="747"/>
      <c r="O34" s="747"/>
      <c r="P34" s="747"/>
      <c r="Q34" s="748"/>
      <c r="R34" s="749"/>
      <c r="S34" s="749"/>
      <c r="T34" s="749"/>
      <c r="U34" s="749"/>
      <c r="V34" s="749"/>
      <c r="W34" s="749"/>
      <c r="X34" s="750"/>
      <c r="Y34" s="750"/>
      <c r="Z34" s="750"/>
      <c r="AA34" s="750"/>
      <c r="AB34" s="750"/>
      <c r="AC34" s="750"/>
      <c r="AD34" s="750"/>
      <c r="AE34" s="750"/>
      <c r="AF34" s="750"/>
      <c r="AG34" s="751"/>
      <c r="AH34" s="751"/>
      <c r="AI34" s="751"/>
      <c r="AJ34" s="751"/>
      <c r="AK34" s="751"/>
      <c r="AL34" s="751"/>
      <c r="AM34" s="751"/>
      <c r="AN34" s="751"/>
      <c r="AO34" s="751"/>
      <c r="AP34" s="751"/>
      <c r="AQ34" s="751"/>
      <c r="AR34" s="751"/>
      <c r="AS34" s="751"/>
      <c r="AT34" s="751"/>
      <c r="AU34" s="751"/>
      <c r="AV34" s="751"/>
      <c r="AW34" s="751"/>
      <c r="AX34" s="751"/>
      <c r="AY34" s="751"/>
      <c r="AZ34" s="751"/>
      <c r="BA34" s="751"/>
      <c r="BB34" s="751"/>
      <c r="BC34" s="751"/>
      <c r="BD34" s="306"/>
      <c r="BE34" s="306"/>
      <c r="BF34" s="306"/>
      <c r="BG34" s="306"/>
      <c r="BH34" s="306"/>
      <c r="BI34" s="306"/>
      <c r="BJ34" s="306"/>
      <c r="BK34" s="306"/>
      <c r="BL34" s="306"/>
      <c r="BM34" s="306"/>
      <c r="BN34" s="306"/>
      <c r="BO34" s="306"/>
      <c r="BP34" s="306"/>
      <c r="BQ34" s="306"/>
      <c r="BR34" s="306"/>
      <c r="BS34" s="306"/>
      <c r="BT34" s="306"/>
      <c r="BU34" s="306"/>
      <c r="BV34" s="306"/>
      <c r="BW34" s="306"/>
      <c r="BX34" s="306"/>
      <c r="BY34" s="306"/>
      <c r="BZ34" s="306"/>
      <c r="CA34" s="306"/>
      <c r="CB34" s="306"/>
      <c r="CC34" s="306"/>
      <c r="CD34" s="306"/>
      <c r="CE34" s="306"/>
      <c r="CF34" s="306"/>
      <c r="CG34" s="306"/>
      <c r="CH34" s="306"/>
      <c r="CI34" s="306"/>
      <c r="CJ34" s="306"/>
      <c r="CK34" s="306"/>
      <c r="CL34" s="306"/>
      <c r="CM34" s="306"/>
      <c r="CN34" s="306"/>
      <c r="CO34" s="306"/>
      <c r="CP34" s="306"/>
      <c r="CQ34" s="306"/>
      <c r="CR34" s="306"/>
      <c r="CS34" s="306"/>
    </row>
    <row r="35" spans="1:97" s="804" customFormat="1" ht="21" x14ac:dyDescent="0.4">
      <c r="A35" s="802"/>
      <c r="B35" s="1064" t="s">
        <v>440</v>
      </c>
      <c r="C35" s="1064"/>
      <c r="D35" s="1064"/>
      <c r="E35" s="1064"/>
      <c r="F35" s="1064"/>
      <c r="G35" s="1064"/>
      <c r="H35" s="1064"/>
      <c r="I35" s="1064"/>
      <c r="J35" s="1064"/>
      <c r="K35" s="1064"/>
      <c r="L35" s="1064"/>
      <c r="M35" s="1064"/>
      <c r="N35" s="1064"/>
      <c r="O35" s="1064"/>
      <c r="P35" s="1064"/>
      <c r="Q35" s="1064"/>
      <c r="R35" s="1064"/>
      <c r="S35" s="1064"/>
      <c r="T35" s="752"/>
      <c r="U35" s="752"/>
      <c r="V35" s="752"/>
      <c r="W35" s="752"/>
      <c r="X35" s="753"/>
      <c r="Y35" s="753"/>
      <c r="Z35" s="753"/>
      <c r="AA35" s="753"/>
      <c r="AB35" s="753"/>
      <c r="AC35" s="753"/>
      <c r="AD35" s="753"/>
      <c r="AE35" s="753"/>
      <c r="AF35" s="753"/>
      <c r="AG35" s="754"/>
      <c r="AH35" s="754"/>
      <c r="AI35" s="754"/>
      <c r="AJ35" s="754"/>
      <c r="AK35" s="754"/>
      <c r="AL35" s="754"/>
      <c r="AM35" s="754"/>
      <c r="AN35" s="754"/>
      <c r="AO35" s="754"/>
      <c r="AP35" s="754"/>
      <c r="AQ35" s="754"/>
      <c r="AR35" s="754"/>
      <c r="AS35" s="754"/>
      <c r="AT35" s="754"/>
      <c r="AU35" s="754"/>
      <c r="AV35" s="754"/>
      <c r="AW35" s="754"/>
      <c r="AX35" s="754"/>
      <c r="AY35" s="754"/>
      <c r="AZ35" s="754"/>
      <c r="BA35" s="754"/>
      <c r="BB35" s="754"/>
      <c r="BC35" s="754"/>
      <c r="BD35" s="803"/>
      <c r="BE35" s="803"/>
      <c r="BF35" s="803"/>
      <c r="BG35" s="803"/>
      <c r="BH35" s="803"/>
      <c r="BI35" s="803"/>
      <c r="BJ35" s="803"/>
      <c r="BK35" s="803"/>
      <c r="BL35" s="803"/>
      <c r="BM35" s="803"/>
      <c r="BN35" s="803"/>
      <c r="BO35" s="803"/>
      <c r="BP35" s="803"/>
      <c r="BQ35" s="803"/>
      <c r="BR35" s="803"/>
      <c r="BS35" s="803"/>
      <c r="BT35" s="803"/>
      <c r="BU35" s="803"/>
      <c r="BV35" s="803"/>
      <c r="BW35" s="803"/>
      <c r="BX35" s="803"/>
      <c r="BY35" s="803"/>
      <c r="BZ35" s="803"/>
      <c r="CA35" s="803"/>
      <c r="CB35" s="803"/>
      <c r="CC35" s="803"/>
      <c r="CD35" s="803"/>
      <c r="CE35" s="803"/>
      <c r="CF35" s="803"/>
      <c r="CG35" s="803"/>
      <c r="CH35" s="803"/>
      <c r="CI35" s="803"/>
      <c r="CJ35" s="803"/>
      <c r="CK35" s="803"/>
      <c r="CL35" s="803"/>
      <c r="CM35" s="803"/>
      <c r="CN35" s="803"/>
      <c r="CO35" s="803"/>
      <c r="CP35" s="803"/>
      <c r="CQ35" s="803"/>
      <c r="CR35" s="803"/>
      <c r="CS35" s="803"/>
    </row>
    <row r="36" spans="1:97" s="804" customFormat="1" ht="21" x14ac:dyDescent="0.4">
      <c r="A36" s="802"/>
      <c r="B36" s="1064"/>
      <c r="C36" s="1064"/>
      <c r="D36" s="1064"/>
      <c r="E36" s="1064"/>
      <c r="F36" s="1064"/>
      <c r="G36" s="1064"/>
      <c r="H36" s="1064"/>
      <c r="I36" s="1064"/>
      <c r="J36" s="1064"/>
      <c r="K36" s="1064"/>
      <c r="L36" s="1064"/>
      <c r="M36" s="1064"/>
      <c r="N36" s="1064"/>
      <c r="O36" s="1064"/>
      <c r="P36" s="1064"/>
      <c r="Q36" s="1064"/>
      <c r="R36" s="1064"/>
      <c r="S36" s="1064"/>
      <c r="T36" s="752"/>
      <c r="U36" s="752"/>
      <c r="V36" s="752"/>
      <c r="W36" s="752"/>
      <c r="X36" s="753"/>
      <c r="Y36" s="753"/>
      <c r="Z36" s="753"/>
      <c r="AA36" s="753"/>
      <c r="AB36" s="753"/>
      <c r="AC36" s="753"/>
      <c r="AD36" s="753"/>
      <c r="AE36" s="753"/>
      <c r="AF36" s="753"/>
      <c r="AG36" s="754"/>
      <c r="AH36" s="754"/>
      <c r="AI36" s="754"/>
      <c r="AJ36" s="754"/>
      <c r="AK36" s="754"/>
      <c r="AL36" s="754"/>
      <c r="AM36" s="754"/>
      <c r="AN36" s="754"/>
      <c r="AO36" s="754"/>
      <c r="AP36" s="754"/>
      <c r="AQ36" s="754"/>
      <c r="AR36" s="754"/>
      <c r="AS36" s="754"/>
      <c r="AT36" s="754"/>
      <c r="AU36" s="754"/>
      <c r="AV36" s="754"/>
      <c r="AW36" s="754"/>
      <c r="AX36" s="754"/>
      <c r="AY36" s="754"/>
      <c r="AZ36" s="754"/>
      <c r="BA36" s="754"/>
      <c r="BB36" s="754"/>
      <c r="BC36" s="754"/>
      <c r="BD36" s="803"/>
      <c r="BE36" s="803"/>
      <c r="BF36" s="803"/>
      <c r="BG36" s="803"/>
      <c r="BH36" s="803"/>
      <c r="BI36" s="803"/>
      <c r="BJ36" s="803"/>
      <c r="BK36" s="803"/>
      <c r="BL36" s="803"/>
      <c r="BM36" s="803"/>
      <c r="BN36" s="803"/>
      <c r="BO36" s="803"/>
      <c r="BP36" s="803"/>
      <c r="BQ36" s="803"/>
      <c r="BR36" s="803"/>
      <c r="BS36" s="803"/>
      <c r="BT36" s="803"/>
      <c r="BU36" s="803"/>
      <c r="BV36" s="803"/>
      <c r="BW36" s="803"/>
      <c r="BX36" s="803"/>
      <c r="BY36" s="803"/>
      <c r="BZ36" s="803"/>
      <c r="CA36" s="803"/>
      <c r="CB36" s="803"/>
      <c r="CC36" s="803"/>
      <c r="CD36" s="803"/>
      <c r="CE36" s="803"/>
      <c r="CF36" s="803"/>
      <c r="CG36" s="803"/>
      <c r="CH36" s="803"/>
      <c r="CI36" s="803"/>
      <c r="CJ36" s="803"/>
      <c r="CK36" s="803"/>
      <c r="CL36" s="803"/>
      <c r="CM36" s="803"/>
      <c r="CN36" s="803"/>
      <c r="CO36" s="803"/>
      <c r="CP36" s="803"/>
      <c r="CQ36" s="803"/>
      <c r="CR36" s="803"/>
      <c r="CS36" s="803"/>
    </row>
    <row r="37" spans="1:97" s="804" customFormat="1" ht="21" x14ac:dyDescent="0.4">
      <c r="A37" s="802"/>
      <c r="B37" s="1064"/>
      <c r="C37" s="1064"/>
      <c r="D37" s="1064"/>
      <c r="E37" s="1064"/>
      <c r="F37" s="1064"/>
      <c r="G37" s="1064"/>
      <c r="H37" s="1064"/>
      <c r="I37" s="1064"/>
      <c r="J37" s="1064"/>
      <c r="K37" s="1064"/>
      <c r="L37" s="1064"/>
      <c r="M37" s="1064"/>
      <c r="N37" s="1064"/>
      <c r="O37" s="1064"/>
      <c r="P37" s="1064"/>
      <c r="Q37" s="1064"/>
      <c r="R37" s="1064"/>
      <c r="S37" s="1064"/>
      <c r="T37" s="752"/>
      <c r="U37" s="752"/>
      <c r="V37" s="752"/>
      <c r="W37" s="752"/>
      <c r="X37" s="753"/>
      <c r="Y37" s="753"/>
      <c r="Z37" s="753"/>
      <c r="AA37" s="753"/>
      <c r="AB37" s="753"/>
      <c r="AC37" s="753"/>
      <c r="AD37" s="753"/>
      <c r="AE37" s="753"/>
      <c r="AF37" s="753"/>
      <c r="AG37" s="754"/>
      <c r="AH37" s="754"/>
      <c r="AI37" s="754"/>
      <c r="AJ37" s="754"/>
      <c r="AK37" s="754"/>
      <c r="AL37" s="754"/>
      <c r="AM37" s="754"/>
      <c r="AN37" s="754"/>
      <c r="AO37" s="754"/>
      <c r="AP37" s="754"/>
      <c r="AQ37" s="754"/>
      <c r="AR37" s="754"/>
      <c r="AS37" s="754"/>
      <c r="AT37" s="754"/>
      <c r="AU37" s="754"/>
      <c r="AV37" s="754"/>
      <c r="AW37" s="754"/>
      <c r="AX37" s="754"/>
      <c r="AY37" s="754"/>
      <c r="AZ37" s="754"/>
      <c r="BA37" s="754"/>
      <c r="BB37" s="754"/>
      <c r="BC37" s="754"/>
      <c r="BD37" s="803"/>
      <c r="BE37" s="803"/>
      <c r="BF37" s="803"/>
      <c r="BG37" s="803"/>
      <c r="BH37" s="803"/>
      <c r="BI37" s="803"/>
      <c r="BJ37" s="803"/>
      <c r="BK37" s="803"/>
      <c r="BL37" s="803"/>
      <c r="BM37" s="803"/>
      <c r="BN37" s="803"/>
      <c r="BO37" s="803"/>
      <c r="BP37" s="803"/>
      <c r="BQ37" s="803"/>
      <c r="BR37" s="803"/>
      <c r="BS37" s="803"/>
      <c r="BT37" s="803"/>
      <c r="BU37" s="803"/>
      <c r="BV37" s="803"/>
      <c r="BW37" s="803"/>
      <c r="BX37" s="803"/>
      <c r="BY37" s="803"/>
      <c r="BZ37" s="803"/>
      <c r="CA37" s="803"/>
      <c r="CB37" s="803"/>
      <c r="CC37" s="803"/>
      <c r="CD37" s="803"/>
      <c r="CE37" s="803"/>
      <c r="CF37" s="803"/>
      <c r="CG37" s="803"/>
      <c r="CH37" s="803"/>
      <c r="CI37" s="803"/>
      <c r="CJ37" s="803"/>
      <c r="CK37" s="803"/>
      <c r="CL37" s="803"/>
      <c r="CM37" s="803"/>
      <c r="CN37" s="803"/>
      <c r="CO37" s="803"/>
      <c r="CP37" s="803"/>
      <c r="CQ37" s="803"/>
      <c r="CR37" s="803"/>
      <c r="CS37" s="803"/>
    </row>
    <row r="38" spans="1:97" s="804" customFormat="1" ht="21" x14ac:dyDescent="0.4">
      <c r="A38" s="802"/>
      <c r="B38" s="1064"/>
      <c r="C38" s="1064"/>
      <c r="D38" s="1064"/>
      <c r="E38" s="1064"/>
      <c r="F38" s="1064"/>
      <c r="G38" s="1064"/>
      <c r="H38" s="1064"/>
      <c r="I38" s="1064"/>
      <c r="J38" s="1064"/>
      <c r="K38" s="1064"/>
      <c r="L38" s="1064"/>
      <c r="M38" s="1064"/>
      <c r="N38" s="1064"/>
      <c r="O38" s="1064"/>
      <c r="P38" s="1064"/>
      <c r="Q38" s="1064"/>
      <c r="R38" s="1064"/>
      <c r="S38" s="1064"/>
      <c r="T38" s="752"/>
      <c r="U38" s="752"/>
      <c r="V38" s="752"/>
      <c r="W38" s="752"/>
      <c r="X38" s="753"/>
      <c r="Y38" s="753"/>
      <c r="Z38" s="753"/>
      <c r="AA38" s="753"/>
      <c r="AB38" s="753"/>
      <c r="AC38" s="753"/>
      <c r="AD38" s="753"/>
      <c r="AE38" s="753"/>
      <c r="AF38" s="753"/>
      <c r="AG38" s="754"/>
      <c r="AH38" s="754"/>
      <c r="AI38" s="754"/>
      <c r="AJ38" s="754"/>
      <c r="AK38" s="754"/>
      <c r="AL38" s="754"/>
      <c r="AM38" s="754"/>
      <c r="AN38" s="754"/>
      <c r="AO38" s="754"/>
      <c r="AP38" s="754"/>
      <c r="AQ38" s="754"/>
      <c r="AR38" s="754"/>
      <c r="AS38" s="754"/>
      <c r="AT38" s="754"/>
      <c r="AU38" s="754"/>
      <c r="AV38" s="754"/>
      <c r="AW38" s="754"/>
      <c r="AX38" s="754"/>
      <c r="AY38" s="754"/>
      <c r="AZ38" s="754"/>
      <c r="BA38" s="754"/>
      <c r="BB38" s="754"/>
      <c r="BC38" s="754"/>
      <c r="BD38" s="803"/>
      <c r="BE38" s="803"/>
      <c r="BF38" s="803"/>
      <c r="BG38" s="803"/>
      <c r="BH38" s="803"/>
      <c r="BI38" s="803"/>
      <c r="BJ38" s="803"/>
      <c r="BK38" s="803"/>
      <c r="BL38" s="803"/>
      <c r="BM38" s="803"/>
      <c r="BN38" s="803"/>
      <c r="BO38" s="803"/>
      <c r="BP38" s="803"/>
      <c r="BQ38" s="803"/>
      <c r="BR38" s="803"/>
      <c r="BS38" s="803"/>
      <c r="BT38" s="803"/>
      <c r="BU38" s="803"/>
      <c r="BV38" s="803"/>
      <c r="BW38" s="803"/>
      <c r="BX38" s="803"/>
      <c r="BY38" s="803"/>
      <c r="BZ38" s="803"/>
      <c r="CA38" s="803"/>
      <c r="CB38" s="803"/>
      <c r="CC38" s="803"/>
      <c r="CD38" s="803"/>
      <c r="CE38" s="803"/>
      <c r="CF38" s="803"/>
      <c r="CG38" s="803"/>
      <c r="CH38" s="803"/>
      <c r="CI38" s="803"/>
      <c r="CJ38" s="803"/>
      <c r="CK38" s="803"/>
      <c r="CL38" s="803"/>
      <c r="CM38" s="803"/>
      <c r="CN38" s="803"/>
      <c r="CO38" s="803"/>
      <c r="CP38" s="803"/>
      <c r="CQ38" s="803"/>
      <c r="CR38" s="803"/>
      <c r="CS38" s="803"/>
    </row>
    <row r="39" spans="1:97" ht="15" customHeight="1" x14ac:dyDescent="0.4">
      <c r="A39" s="35"/>
      <c r="B39" s="744"/>
      <c r="C39" s="745"/>
      <c r="D39" s="306"/>
      <c r="E39" s="746"/>
      <c r="F39" s="746"/>
      <c r="G39" s="746"/>
      <c r="H39" s="747"/>
      <c r="I39" s="747"/>
      <c r="J39" s="747"/>
      <c r="K39" s="747"/>
      <c r="L39" s="747"/>
      <c r="M39" s="747"/>
      <c r="N39" s="747"/>
      <c r="O39" s="747"/>
      <c r="P39" s="747"/>
      <c r="Q39" s="748"/>
      <c r="R39" s="749"/>
      <c r="S39" s="749"/>
      <c r="T39" s="749"/>
      <c r="U39" s="749"/>
      <c r="V39" s="749"/>
      <c r="W39" s="749"/>
      <c r="X39" s="750"/>
      <c r="Y39" s="750"/>
      <c r="Z39" s="750"/>
      <c r="AA39" s="750"/>
      <c r="AB39" s="750"/>
      <c r="AC39" s="750"/>
      <c r="AD39" s="750"/>
      <c r="AE39" s="750"/>
      <c r="AF39" s="750"/>
      <c r="AG39" s="751"/>
      <c r="AH39" s="751"/>
      <c r="AI39" s="751"/>
      <c r="AJ39" s="751"/>
      <c r="AK39" s="751"/>
      <c r="AL39" s="751"/>
      <c r="AM39" s="751"/>
      <c r="AN39" s="751"/>
      <c r="AO39" s="751"/>
      <c r="AP39" s="751"/>
      <c r="AQ39" s="751"/>
      <c r="AR39" s="751"/>
      <c r="AS39" s="751"/>
      <c r="AT39" s="751"/>
      <c r="AU39" s="751"/>
      <c r="AV39" s="751"/>
      <c r="AW39" s="751"/>
      <c r="AX39" s="751"/>
      <c r="AY39" s="751"/>
      <c r="AZ39" s="751"/>
      <c r="BA39" s="751"/>
      <c r="BB39" s="751"/>
      <c r="BC39" s="751"/>
      <c r="BD39" s="306"/>
      <c r="BE39" s="306"/>
      <c r="BF39" s="306"/>
      <c r="BG39" s="306"/>
      <c r="BH39" s="306"/>
      <c r="BI39" s="306"/>
      <c r="BJ39" s="306"/>
      <c r="BK39" s="306"/>
      <c r="BL39" s="306"/>
      <c r="BM39" s="306"/>
      <c r="BN39" s="306"/>
      <c r="BO39" s="306"/>
      <c r="BP39" s="306"/>
      <c r="BQ39" s="306"/>
      <c r="BR39" s="306"/>
      <c r="BS39" s="306"/>
      <c r="BT39" s="306"/>
      <c r="BU39" s="306"/>
      <c r="BV39" s="306"/>
      <c r="BW39" s="306"/>
      <c r="BX39" s="306"/>
      <c r="BY39" s="306"/>
      <c r="BZ39" s="306"/>
      <c r="CA39" s="306"/>
      <c r="CB39" s="306"/>
      <c r="CC39" s="306"/>
      <c r="CD39" s="306"/>
      <c r="CE39" s="306"/>
      <c r="CF39" s="306"/>
      <c r="CG39" s="306"/>
      <c r="CH39" s="306"/>
      <c r="CI39" s="306"/>
      <c r="CJ39" s="306"/>
      <c r="CK39" s="306"/>
      <c r="CL39" s="306"/>
      <c r="CM39" s="306"/>
      <c r="CN39" s="306"/>
      <c r="CO39" s="306"/>
      <c r="CP39" s="306"/>
      <c r="CQ39" s="306"/>
      <c r="CR39" s="306"/>
      <c r="CS39" s="306"/>
    </row>
    <row r="40" spans="1:97" ht="15" customHeight="1" x14ac:dyDescent="0.4">
      <c r="A40" s="35"/>
      <c r="B40" s="306"/>
      <c r="C40" s="306"/>
      <c r="D40" s="173"/>
      <c r="E40" s="746"/>
      <c r="F40" s="746"/>
      <c r="G40" s="746"/>
      <c r="H40" s="747"/>
      <c r="I40" s="747"/>
      <c r="J40" s="747"/>
      <c r="K40" s="747"/>
      <c r="L40" s="747"/>
      <c r="M40" s="747"/>
      <c r="N40" s="747"/>
      <c r="O40" s="747"/>
      <c r="P40" s="747"/>
      <c r="Q40" s="748"/>
      <c r="R40" s="749"/>
      <c r="S40" s="749"/>
      <c r="T40" s="749"/>
      <c r="U40" s="749"/>
      <c r="V40" s="749"/>
      <c r="W40" s="749"/>
      <c r="X40" s="750"/>
      <c r="Y40" s="750"/>
      <c r="Z40" s="750"/>
      <c r="AA40" s="750"/>
      <c r="AB40" s="750"/>
      <c r="AC40" s="750"/>
      <c r="AD40" s="750"/>
      <c r="AE40" s="750"/>
      <c r="AF40" s="750"/>
      <c r="AG40" s="751"/>
      <c r="AH40" s="751"/>
      <c r="AI40" s="751"/>
      <c r="AJ40" s="751"/>
      <c r="AK40" s="751"/>
      <c r="AL40" s="751"/>
      <c r="AM40" s="751"/>
      <c r="AN40" s="751"/>
      <c r="AO40" s="751"/>
      <c r="AP40" s="751"/>
      <c r="AQ40" s="751"/>
      <c r="AR40" s="751"/>
      <c r="AS40" s="751"/>
      <c r="AT40" s="751"/>
      <c r="AU40" s="751"/>
      <c r="AV40" s="751"/>
      <c r="AW40" s="751"/>
      <c r="AX40" s="751"/>
      <c r="AY40" s="751"/>
      <c r="AZ40" s="751"/>
      <c r="BA40" s="751"/>
      <c r="BB40" s="751"/>
      <c r="BC40" s="751"/>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C40" s="306"/>
      <c r="CD40" s="306"/>
      <c r="CE40" s="306"/>
      <c r="CF40" s="306"/>
      <c r="CG40" s="306"/>
      <c r="CH40" s="306"/>
      <c r="CI40" s="306"/>
      <c r="CJ40" s="306"/>
      <c r="CK40" s="306"/>
      <c r="CL40" s="306"/>
      <c r="CM40" s="306"/>
      <c r="CN40" s="306"/>
      <c r="CO40" s="306"/>
      <c r="CP40" s="306"/>
      <c r="CQ40" s="306"/>
      <c r="CR40" s="306"/>
      <c r="CS40" s="306"/>
    </row>
    <row r="41" spans="1:97" ht="15" customHeight="1" x14ac:dyDescent="0.4">
      <c r="A41" s="35"/>
      <c r="B41" s="744"/>
      <c r="C41" s="755"/>
      <c r="D41" s="756" t="s">
        <v>441</v>
      </c>
      <c r="E41" s="746"/>
      <c r="F41" s="746"/>
      <c r="G41" s="746"/>
      <c r="H41" s="747"/>
      <c r="I41" s="747"/>
      <c r="J41" s="747"/>
      <c r="K41" s="747"/>
      <c r="L41" s="747"/>
      <c r="M41" s="747"/>
      <c r="N41" s="747"/>
      <c r="O41" s="747"/>
      <c r="P41" s="747"/>
      <c r="Q41" s="748"/>
      <c r="R41" s="749"/>
      <c r="S41" s="749"/>
      <c r="T41" s="749"/>
      <c r="U41" s="749"/>
      <c r="V41" s="749"/>
      <c r="W41" s="749"/>
      <c r="X41" s="750"/>
      <c r="Y41" s="750"/>
      <c r="Z41" s="750"/>
      <c r="AA41" s="750"/>
      <c r="AB41" s="750"/>
      <c r="AC41" s="750"/>
      <c r="AD41" s="750"/>
      <c r="AE41" s="750"/>
      <c r="AF41" s="750"/>
      <c r="AG41" s="751"/>
      <c r="AH41" s="751"/>
      <c r="AI41" s="751"/>
      <c r="AJ41" s="751"/>
      <c r="AK41" s="751"/>
      <c r="AL41" s="751"/>
      <c r="AM41" s="751"/>
      <c r="AN41" s="751"/>
      <c r="AO41" s="751"/>
      <c r="AP41" s="751"/>
      <c r="AQ41" s="751"/>
      <c r="AR41" s="751"/>
      <c r="AS41" s="751"/>
      <c r="AT41" s="751"/>
      <c r="AU41" s="751"/>
      <c r="AV41" s="751"/>
      <c r="AW41" s="751"/>
      <c r="AX41" s="751"/>
      <c r="AY41" s="751"/>
      <c r="AZ41" s="751"/>
      <c r="BA41" s="751"/>
      <c r="BB41" s="751"/>
      <c r="BC41" s="751"/>
      <c r="BD41" s="306"/>
      <c r="BE41" s="306"/>
      <c r="BF41" s="306"/>
      <c r="BG41" s="306"/>
      <c r="BH41" s="306"/>
      <c r="BI41" s="306"/>
      <c r="BJ41" s="306"/>
      <c r="BK41" s="306"/>
      <c r="BL41" s="306"/>
      <c r="BM41" s="306"/>
      <c r="BN41" s="306"/>
      <c r="BO41" s="306"/>
      <c r="BP41" s="306"/>
      <c r="BQ41" s="306"/>
      <c r="BR41" s="306"/>
      <c r="BS41" s="306"/>
      <c r="BT41" s="306"/>
      <c r="BU41" s="306"/>
      <c r="BV41" s="306"/>
      <c r="BW41" s="306"/>
      <c r="BX41" s="306"/>
      <c r="BY41" s="306"/>
      <c r="BZ41" s="306"/>
      <c r="CA41" s="306"/>
      <c r="CB41" s="306"/>
      <c r="CC41" s="306"/>
      <c r="CD41" s="306"/>
      <c r="CE41" s="306"/>
      <c r="CF41" s="306"/>
      <c r="CG41" s="306"/>
      <c r="CH41" s="306"/>
      <c r="CI41" s="306"/>
      <c r="CJ41" s="306"/>
      <c r="CK41" s="306"/>
      <c r="CL41" s="306"/>
      <c r="CM41" s="306"/>
      <c r="CN41" s="306"/>
      <c r="CO41" s="306"/>
      <c r="CP41" s="306"/>
      <c r="CQ41" s="306"/>
      <c r="CR41" s="306"/>
      <c r="CS41" s="306"/>
    </row>
    <row r="42" spans="1:97" ht="15" customHeight="1" x14ac:dyDescent="0.4">
      <c r="A42" s="35"/>
      <c r="B42" s="744"/>
      <c r="C42" s="745"/>
      <c r="D42" s="306"/>
      <c r="E42" s="173"/>
      <c r="F42" s="746"/>
      <c r="G42" s="746"/>
      <c r="H42" s="747"/>
      <c r="I42" s="747"/>
      <c r="J42" s="747"/>
      <c r="K42" s="747"/>
      <c r="L42" s="747"/>
      <c r="M42" s="747"/>
      <c r="N42" s="747"/>
      <c r="O42" s="747"/>
      <c r="P42" s="747"/>
      <c r="Q42" s="748"/>
      <c r="R42" s="749"/>
      <c r="S42" s="749"/>
      <c r="T42" s="749"/>
      <c r="U42" s="749"/>
      <c r="V42" s="749"/>
      <c r="W42" s="749"/>
      <c r="X42" s="750"/>
      <c r="Y42" s="750"/>
      <c r="Z42" s="750"/>
      <c r="AA42" s="750"/>
      <c r="AB42" s="750"/>
      <c r="AC42" s="750"/>
      <c r="AD42" s="750"/>
      <c r="AE42" s="750"/>
      <c r="AF42" s="750"/>
      <c r="AG42" s="751"/>
      <c r="AH42" s="751"/>
      <c r="AI42" s="751"/>
      <c r="AJ42" s="751"/>
      <c r="AK42" s="751"/>
      <c r="AL42" s="751"/>
      <c r="AM42" s="751"/>
      <c r="AN42" s="751"/>
      <c r="AO42" s="751"/>
      <c r="AP42" s="751"/>
      <c r="AQ42" s="751"/>
      <c r="AR42" s="751"/>
      <c r="AS42" s="751"/>
      <c r="AT42" s="751"/>
      <c r="AU42" s="751"/>
      <c r="AV42" s="751"/>
      <c r="AW42" s="751"/>
      <c r="AX42" s="751"/>
      <c r="AY42" s="751"/>
      <c r="AZ42" s="751"/>
      <c r="BA42" s="751"/>
      <c r="BB42" s="751"/>
      <c r="BC42" s="751"/>
      <c r="BD42" s="306"/>
      <c r="BE42" s="306"/>
      <c r="BF42" s="306"/>
      <c r="BG42" s="306"/>
      <c r="BH42" s="306"/>
      <c r="BI42" s="306"/>
      <c r="BJ42" s="306"/>
      <c r="BK42" s="306"/>
      <c r="BL42" s="306"/>
      <c r="BM42" s="306"/>
      <c r="BN42" s="306"/>
      <c r="BO42" s="306"/>
      <c r="BP42" s="306"/>
      <c r="BQ42" s="306"/>
      <c r="BR42" s="306"/>
      <c r="BS42" s="306"/>
      <c r="BT42" s="306"/>
      <c r="BU42" s="306"/>
      <c r="BV42" s="306"/>
      <c r="BW42" s="306"/>
      <c r="BX42" s="306"/>
      <c r="BY42" s="306"/>
      <c r="BZ42" s="306"/>
      <c r="CA42" s="306"/>
      <c r="CB42" s="306"/>
      <c r="CC42" s="306"/>
      <c r="CD42" s="306"/>
      <c r="CE42" s="306"/>
      <c r="CF42" s="306"/>
      <c r="CG42" s="306"/>
      <c r="CH42" s="306"/>
      <c r="CI42" s="306"/>
      <c r="CJ42" s="306"/>
      <c r="CK42" s="306"/>
      <c r="CL42" s="306"/>
      <c r="CM42" s="306"/>
      <c r="CN42" s="306"/>
      <c r="CO42" s="306"/>
      <c r="CP42" s="306"/>
      <c r="CQ42" s="306"/>
      <c r="CR42" s="306"/>
      <c r="CS42" s="306"/>
    </row>
    <row r="43" spans="1:97" ht="15" customHeight="1" x14ac:dyDescent="0.3">
      <c r="A43" s="35"/>
      <c r="B43" s="13"/>
      <c r="C43" s="304" t="s">
        <v>442</v>
      </c>
      <c r="E43" s="174"/>
      <c r="F43" s="174"/>
      <c r="G43" s="174">
        <f t="shared" ref="G43:U43" si="2">F11</f>
        <v>2020</v>
      </c>
      <c r="H43" s="174">
        <f t="shared" si="2"/>
        <v>2021</v>
      </c>
      <c r="I43" s="174">
        <f t="shared" si="2"/>
        <v>2022</v>
      </c>
      <c r="J43" s="174">
        <f t="shared" si="2"/>
        <v>2023</v>
      </c>
      <c r="K43" s="174">
        <f t="shared" si="2"/>
        <v>2024</v>
      </c>
      <c r="L43" s="174">
        <f t="shared" si="2"/>
        <v>2025</v>
      </c>
      <c r="M43" s="174">
        <f t="shared" si="2"/>
        <v>2026</v>
      </c>
      <c r="N43" s="174">
        <f t="shared" si="2"/>
        <v>2027</v>
      </c>
      <c r="O43" s="174">
        <f t="shared" si="2"/>
        <v>2028</v>
      </c>
      <c r="P43" s="174">
        <f t="shared" si="2"/>
        <v>2029</v>
      </c>
      <c r="Q43" s="174">
        <f t="shared" si="2"/>
        <v>2030</v>
      </c>
      <c r="R43" s="174">
        <f t="shared" si="2"/>
        <v>2031</v>
      </c>
      <c r="S43" s="174">
        <f t="shared" si="2"/>
        <v>2032</v>
      </c>
      <c r="T43" s="174">
        <f t="shared" si="2"/>
        <v>2033</v>
      </c>
      <c r="U43" s="174">
        <f t="shared" si="2"/>
        <v>2034</v>
      </c>
      <c r="V43" s="174">
        <v>2035</v>
      </c>
      <c r="W43" s="76"/>
      <c r="X43" s="76"/>
      <c r="Y43" s="76"/>
      <c r="Z43" s="76"/>
      <c r="AA43" s="76"/>
      <c r="AB43" s="76"/>
      <c r="AC43" s="76"/>
      <c r="AD43" s="76"/>
      <c r="AE43" s="76"/>
      <c r="AF43" s="76"/>
      <c r="AG43" s="91"/>
      <c r="AH43" s="91"/>
      <c r="AI43" s="91"/>
      <c r="AJ43" s="91"/>
      <c r="AK43" s="91"/>
      <c r="AL43" s="91"/>
      <c r="AM43" s="91"/>
      <c r="AN43" s="91"/>
      <c r="AO43" s="91"/>
      <c r="AP43" s="91"/>
      <c r="AQ43" s="91"/>
      <c r="AR43" s="91"/>
      <c r="AS43" s="91"/>
      <c r="AT43" s="91"/>
      <c r="AU43" s="91"/>
      <c r="AV43" s="91"/>
      <c r="AW43" s="91"/>
      <c r="AX43" s="91"/>
      <c r="AY43" s="91"/>
      <c r="AZ43" s="91"/>
      <c r="BA43" s="91"/>
      <c r="BB43" s="91"/>
      <c r="BC43" s="91"/>
    </row>
    <row r="44" spans="1:97" ht="15" customHeight="1" x14ac:dyDescent="0.3">
      <c r="A44" s="35"/>
      <c r="B44" s="13"/>
      <c r="C44" s="63"/>
      <c r="D44" s="303" t="s">
        <v>443</v>
      </c>
      <c r="E44" s="174"/>
      <c r="F44" s="174"/>
      <c r="G44" s="174"/>
      <c r="H44" s="757">
        <v>0.94531456821115245</v>
      </c>
      <c r="I44" s="757">
        <v>0.90470219710800492</v>
      </c>
      <c r="J44" s="757">
        <v>0.80844341409715459</v>
      </c>
      <c r="K44" s="757">
        <v>0.70108864802491655</v>
      </c>
      <c r="L44" s="757">
        <v>0.6445842285089054</v>
      </c>
      <c r="M44" s="757">
        <v>0.56503744524520294</v>
      </c>
      <c r="N44" s="757">
        <v>0.50687833442577357</v>
      </c>
      <c r="O44" s="757">
        <v>0.43861950863067062</v>
      </c>
      <c r="P44" s="757">
        <v>0.36497821317510198</v>
      </c>
      <c r="Q44" s="758">
        <v>0.30597323719712988</v>
      </c>
      <c r="R44" s="758">
        <v>0.25006757416882186</v>
      </c>
      <c r="S44" s="758">
        <v>0.19311607899743091</v>
      </c>
      <c r="T44" s="758">
        <v>0.13474273912378404</v>
      </c>
      <c r="U44" s="758">
        <v>7.5844897134089179E-2</v>
      </c>
      <c r="V44" s="759">
        <v>1.6226078563812061E-2</v>
      </c>
      <c r="W44" s="76"/>
      <c r="X44" s="76"/>
      <c r="Y44" s="76"/>
      <c r="Z44" s="76"/>
      <c r="AA44" s="76"/>
      <c r="AB44" s="76"/>
      <c r="AC44" s="76"/>
      <c r="AD44" s="76"/>
      <c r="AE44" s="76"/>
      <c r="AF44" s="76"/>
      <c r="AG44" s="91"/>
      <c r="AH44" s="91"/>
      <c r="AI44" s="91"/>
      <c r="AJ44" s="91"/>
      <c r="AK44" s="91"/>
      <c r="AL44" s="91"/>
      <c r="AM44" s="91"/>
      <c r="AN44" s="91"/>
      <c r="AO44" s="91"/>
      <c r="AP44" s="91"/>
      <c r="AQ44" s="91"/>
      <c r="AR44" s="91"/>
      <c r="AS44" s="91"/>
      <c r="AT44" s="91"/>
      <c r="AU44" s="91"/>
      <c r="AV44" s="91"/>
      <c r="AW44" s="91"/>
      <c r="AX44" s="91"/>
      <c r="AY44" s="91"/>
      <c r="AZ44" s="91"/>
      <c r="BA44" s="91"/>
      <c r="BB44" s="91"/>
      <c r="BC44" s="91"/>
    </row>
    <row r="45" spans="1:97" ht="15" customHeight="1" x14ac:dyDescent="0.3">
      <c r="A45" s="35"/>
      <c r="B45" s="13"/>
      <c r="C45" s="63"/>
      <c r="D45" s="303" t="s">
        <v>444</v>
      </c>
      <c r="E45" s="174"/>
      <c r="F45" s="174"/>
      <c r="G45" s="174"/>
      <c r="H45" s="757">
        <v>5.468399999999999E-2</v>
      </c>
      <c r="I45" s="757">
        <v>9.5013037062079697E-2</v>
      </c>
      <c r="J45" s="757">
        <v>0.18263554563821233</v>
      </c>
      <c r="K45" s="757">
        <v>0.24232630530541246</v>
      </c>
      <c r="L45" s="757">
        <v>0.27961954324386989</v>
      </c>
      <c r="M45" s="757">
        <v>0.33168875490598193</v>
      </c>
      <c r="N45" s="757">
        <v>0.36456442298583219</v>
      </c>
      <c r="O45" s="757">
        <v>0.39766264225648085</v>
      </c>
      <c r="P45" s="757">
        <v>0.43040069971410788</v>
      </c>
      <c r="Q45" s="758">
        <v>0.44649977861253953</v>
      </c>
      <c r="R45" s="758">
        <v>0.45942176223707493</v>
      </c>
      <c r="S45" s="758">
        <v>0.47143124836684325</v>
      </c>
      <c r="T45" s="758">
        <v>0.48240556558185105</v>
      </c>
      <c r="U45" s="758">
        <v>0.49225631393280839</v>
      </c>
      <c r="V45" s="759">
        <v>0.50093619871251271</v>
      </c>
      <c r="W45" s="76"/>
      <c r="X45" s="76"/>
      <c r="Y45" s="76"/>
      <c r="Z45" s="76"/>
      <c r="AA45" s="76"/>
      <c r="AB45" s="76"/>
      <c r="AC45" s="76"/>
      <c r="AD45" s="76"/>
      <c r="AE45" s="76"/>
      <c r="AF45" s="76"/>
      <c r="AG45" s="91"/>
      <c r="AH45" s="91"/>
      <c r="AI45" s="91"/>
      <c r="AJ45" s="91"/>
      <c r="AK45" s="91"/>
      <c r="AL45" s="91"/>
      <c r="AM45" s="91"/>
      <c r="AN45" s="91"/>
      <c r="AO45" s="91"/>
      <c r="AP45" s="91"/>
      <c r="AQ45" s="91"/>
      <c r="AR45" s="91"/>
      <c r="AS45" s="91"/>
      <c r="AT45" s="91"/>
      <c r="AU45" s="91"/>
      <c r="AV45" s="91"/>
      <c r="AW45" s="91"/>
      <c r="AX45" s="91"/>
      <c r="AY45" s="91"/>
      <c r="AZ45" s="91"/>
      <c r="BA45" s="91"/>
      <c r="BB45" s="91"/>
      <c r="BC45" s="91"/>
    </row>
    <row r="46" spans="1:97" ht="15" customHeight="1" x14ac:dyDescent="0.3">
      <c r="A46" s="35"/>
      <c r="B46" s="13"/>
      <c r="C46" s="63"/>
      <c r="D46" s="303" t="s">
        <v>445</v>
      </c>
      <c r="E46" s="174"/>
      <c r="F46" s="174"/>
      <c r="G46" s="174"/>
      <c r="H46" s="757">
        <v>0</v>
      </c>
      <c r="I46" s="757">
        <v>0</v>
      </c>
      <c r="J46" s="757">
        <v>8.3175254003352191E-3</v>
      </c>
      <c r="K46" s="757">
        <v>5.4339634623289029E-2</v>
      </c>
      <c r="L46" s="757">
        <v>7.2856024163048289E-2</v>
      </c>
      <c r="M46" s="757">
        <v>9.9255733906755225E-2</v>
      </c>
      <c r="N46" s="757">
        <v>0.12301343629388559</v>
      </c>
      <c r="O46" s="757">
        <v>0.14987899467322915</v>
      </c>
      <c r="P46" s="757">
        <v>0.17997219222572905</v>
      </c>
      <c r="Q46" s="758">
        <v>0.20609280400858945</v>
      </c>
      <c r="R46" s="758">
        <v>0.2332167043044191</v>
      </c>
      <c r="S46" s="758">
        <v>0.26238049579956491</v>
      </c>
      <c r="T46" s="758">
        <v>0.29363980068144346</v>
      </c>
      <c r="U46" s="758">
        <v>0.32706639781857177</v>
      </c>
      <c r="V46" s="759">
        <v>0.36274690251595743</v>
      </c>
      <c r="W46" s="76"/>
      <c r="X46" s="76"/>
      <c r="Y46" s="76"/>
      <c r="Z46" s="76"/>
      <c r="AA46" s="76"/>
      <c r="AB46" s="76"/>
      <c r="AC46" s="76"/>
      <c r="AD46" s="76"/>
      <c r="AE46" s="76"/>
      <c r="AF46" s="76"/>
      <c r="AG46" s="91"/>
      <c r="AH46" s="91"/>
      <c r="AI46" s="91"/>
      <c r="AJ46" s="91"/>
      <c r="AK46" s="91"/>
      <c r="AL46" s="91"/>
      <c r="AM46" s="91"/>
      <c r="AN46" s="91"/>
      <c r="AO46" s="91"/>
      <c r="AP46" s="91"/>
      <c r="AQ46" s="91"/>
      <c r="AR46" s="91"/>
      <c r="AS46" s="91"/>
      <c r="AT46" s="91"/>
      <c r="AU46" s="91"/>
      <c r="AV46" s="91"/>
      <c r="AW46" s="91"/>
      <c r="AX46" s="91"/>
      <c r="AY46" s="91"/>
      <c r="AZ46" s="91"/>
      <c r="BA46" s="91"/>
      <c r="BB46" s="91"/>
      <c r="BC46" s="91"/>
    </row>
    <row r="47" spans="1:97" s="306" customFormat="1" ht="21" x14ac:dyDescent="0.4">
      <c r="B47"/>
      <c r="C47" s="63"/>
      <c r="D47" s="303" t="s">
        <v>446</v>
      </c>
      <c r="E47" s="174"/>
      <c r="F47" s="174"/>
      <c r="G47" s="174"/>
      <c r="H47" s="760">
        <v>1.4317888475058427E-6</v>
      </c>
      <c r="I47" s="760">
        <v>2.8476582991536503E-4</v>
      </c>
      <c r="J47" s="760">
        <v>6.035148642977372E-4</v>
      </c>
      <c r="K47" s="760">
        <v>2.2454120463819686E-3</v>
      </c>
      <c r="L47" s="760">
        <v>2.9402040841764359E-3</v>
      </c>
      <c r="M47" s="760">
        <v>4.0180659420600041E-3</v>
      </c>
      <c r="N47" s="760">
        <v>5.5438062945085782E-3</v>
      </c>
      <c r="O47" s="760">
        <v>1.29411506185402E-2</v>
      </c>
      <c r="P47" s="760">
        <v>2.1413333339185651E-2</v>
      </c>
      <c r="Q47" s="760">
        <v>3.2842709028856901E-2</v>
      </c>
      <c r="R47" s="760">
        <v>4.1754335086254001E-2</v>
      </c>
      <c r="S47" s="760">
        <v>4.8785538566813294E-2</v>
      </c>
      <c r="T47" s="760">
        <v>5.6163422542365629E-2</v>
      </c>
      <c r="U47" s="760">
        <v>6.3381589772211186E-2</v>
      </c>
      <c r="V47" s="761">
        <v>7.0493836064450657E-2</v>
      </c>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row>
    <row r="48" spans="1:97" ht="15" customHeight="1" x14ac:dyDescent="0.3">
      <c r="A48" s="35"/>
      <c r="C48"/>
      <c r="D48" s="303" t="s">
        <v>447</v>
      </c>
      <c r="H48" s="762">
        <v>0</v>
      </c>
      <c r="I48" s="762">
        <v>0</v>
      </c>
      <c r="J48" s="762">
        <v>0</v>
      </c>
      <c r="K48" s="762">
        <v>0</v>
      </c>
      <c r="L48" s="762">
        <v>0</v>
      </c>
      <c r="M48" s="762">
        <v>0</v>
      </c>
      <c r="N48" s="762">
        <v>0</v>
      </c>
      <c r="O48" s="762">
        <v>8.9770382107918166E-4</v>
      </c>
      <c r="P48" s="762">
        <v>3.2355615458754426E-3</v>
      </c>
      <c r="Q48" s="762">
        <v>8.591471152884252E-3</v>
      </c>
      <c r="R48" s="758">
        <v>1.5539624203430032E-2</v>
      </c>
      <c r="S48" s="758">
        <v>2.4286638269347509E-2</v>
      </c>
      <c r="T48" s="758">
        <v>3.3048472070555827E-2</v>
      </c>
      <c r="U48" s="758">
        <v>4.1450801342319571E-2</v>
      </c>
      <c r="V48" s="763">
        <v>4.95969841432672E-2</v>
      </c>
    </row>
    <row r="49" spans="1:97" ht="15" customHeight="1" x14ac:dyDescent="0.3">
      <c r="A49" s="35"/>
      <c r="B49" s="35"/>
      <c r="C49"/>
      <c r="H49" s="764"/>
      <c r="I49" s="764"/>
      <c r="J49" s="764"/>
      <c r="K49" s="764"/>
      <c r="L49" s="764"/>
      <c r="M49" s="764"/>
      <c r="N49" s="764"/>
      <c r="O49" s="764"/>
      <c r="P49" s="764"/>
      <c r="Q49" s="764"/>
      <c r="R49" s="764"/>
      <c r="S49" s="764"/>
      <c r="T49" s="764"/>
      <c r="U49" s="764"/>
      <c r="V49" s="764"/>
    </row>
    <row r="50" spans="1:97" ht="15" customHeight="1" x14ac:dyDescent="0.3">
      <c r="A50" s="35"/>
      <c r="B50" s="35"/>
      <c r="C50"/>
      <c r="H50" s="35"/>
      <c r="I50" s="35"/>
      <c r="J50" s="35"/>
      <c r="K50" s="35"/>
      <c r="L50" s="35"/>
      <c r="M50" s="35"/>
      <c r="N50" s="35"/>
      <c r="O50" s="35"/>
      <c r="P50" s="35"/>
      <c r="Q50" s="35"/>
      <c r="R50" s="35"/>
      <c r="S50" s="35"/>
      <c r="T50" s="35"/>
      <c r="U50" s="35"/>
      <c r="V50" s="35"/>
    </row>
    <row r="51" spans="1:97" ht="15" customHeight="1" x14ac:dyDescent="0.3">
      <c r="A51" s="35"/>
      <c r="B51" s="35"/>
      <c r="C51"/>
      <c r="E51" s="173"/>
      <c r="H51" s="35"/>
      <c r="I51" s="35"/>
      <c r="J51" s="35"/>
      <c r="K51" s="35"/>
      <c r="L51" s="35"/>
      <c r="M51" s="35"/>
      <c r="N51" s="35"/>
      <c r="O51" s="35"/>
      <c r="P51" s="35"/>
      <c r="Q51" s="35"/>
    </row>
    <row r="52" spans="1:97" ht="15" customHeight="1" x14ac:dyDescent="0.3">
      <c r="A52" s="35"/>
      <c r="B52" s="13"/>
      <c r="C52" s="304" t="s">
        <v>448</v>
      </c>
      <c r="E52" s="174"/>
      <c r="F52" s="174"/>
      <c r="G52" s="174">
        <v>2020</v>
      </c>
      <c r="H52" s="174">
        <v>2021</v>
      </c>
      <c r="I52" s="174">
        <v>2022</v>
      </c>
      <c r="J52" s="174">
        <v>2023</v>
      </c>
      <c r="K52" s="174">
        <v>2024</v>
      </c>
      <c r="L52" s="174">
        <v>2025</v>
      </c>
      <c r="M52" s="174">
        <v>2026</v>
      </c>
      <c r="N52" s="174">
        <v>2027</v>
      </c>
      <c r="O52" s="174">
        <v>2028</v>
      </c>
      <c r="P52" s="174">
        <v>2029</v>
      </c>
      <c r="Q52" s="174">
        <v>2030</v>
      </c>
      <c r="R52" s="174">
        <v>2031</v>
      </c>
      <c r="S52" s="174">
        <v>2032</v>
      </c>
      <c r="T52" s="174">
        <v>2033</v>
      </c>
      <c r="U52" s="174">
        <v>2034</v>
      </c>
      <c r="V52" s="174">
        <v>2035</v>
      </c>
    </row>
    <row r="53" spans="1:97" ht="15" customHeight="1" x14ac:dyDescent="0.3">
      <c r="A53" s="35"/>
      <c r="B53" s="13"/>
      <c r="C53" s="63"/>
      <c r="D53" s="303" t="s">
        <v>449</v>
      </c>
      <c r="E53" s="35"/>
      <c r="F53" s="35"/>
      <c r="G53" s="765">
        <v>0.98354769742748893</v>
      </c>
      <c r="H53" s="765">
        <v>0.96170081761437687</v>
      </c>
      <c r="I53" s="765">
        <v>0.95324945072740319</v>
      </c>
      <c r="J53" s="765">
        <v>0.91575618807952486</v>
      </c>
      <c r="K53" s="765">
        <v>0.83129512844043429</v>
      </c>
      <c r="L53" s="765">
        <v>0.81868873863445712</v>
      </c>
      <c r="M53" s="765">
        <v>0.78389320386953865</v>
      </c>
      <c r="N53" s="765">
        <v>0.73942361669638323</v>
      </c>
      <c r="O53" s="765">
        <v>0.69398234398456948</v>
      </c>
      <c r="P53" s="765">
        <v>0.63819782012160575</v>
      </c>
      <c r="Q53" s="765">
        <v>0.59062849305289844</v>
      </c>
      <c r="R53" s="61">
        <v>0.53931849908983254</v>
      </c>
      <c r="S53" s="61">
        <v>0.48404625662150386</v>
      </c>
      <c r="T53" s="61">
        <v>0.42628163496067012</v>
      </c>
      <c r="U53" s="766">
        <v>0.36350116940100807</v>
      </c>
      <c r="V53" s="767">
        <v>0.29703049735482656</v>
      </c>
    </row>
    <row r="54" spans="1:97" ht="15" customHeight="1" x14ac:dyDescent="0.3">
      <c r="A54" s="35"/>
      <c r="B54" s="13"/>
      <c r="C54" s="63"/>
      <c r="D54" s="303" t="s">
        <v>450</v>
      </c>
      <c r="E54" s="35"/>
      <c r="F54" s="35"/>
      <c r="G54" s="765">
        <v>1.645230257251112E-2</v>
      </c>
      <c r="H54" s="765">
        <v>3.8299182385623166E-2</v>
      </c>
      <c r="I54" s="765">
        <v>4.6750549272596774E-2</v>
      </c>
      <c r="J54" s="765">
        <v>8.4243811920475142E-2</v>
      </c>
      <c r="K54" s="765">
        <v>0.12652865366967431</v>
      </c>
      <c r="L54" s="765">
        <v>0.13598344602415713</v>
      </c>
      <c r="M54" s="765">
        <v>0.1620800970978459</v>
      </c>
      <c r="N54" s="765">
        <v>0.19543228747771266</v>
      </c>
      <c r="O54" s="765">
        <v>0.22951324201157292</v>
      </c>
      <c r="P54" s="765">
        <v>0.27135163490879566</v>
      </c>
      <c r="Q54" s="765">
        <v>0.30702863021032606</v>
      </c>
      <c r="R54" s="61">
        <v>0.34551112568262554</v>
      </c>
      <c r="S54" s="61">
        <v>0.38696530753387209</v>
      </c>
      <c r="T54" s="61">
        <v>0.43028877377949742</v>
      </c>
      <c r="U54" s="766">
        <v>0.47737412294924392</v>
      </c>
      <c r="V54" s="767">
        <v>0.52722712698388008</v>
      </c>
    </row>
    <row r="55" spans="1:97" ht="15" customHeight="1" x14ac:dyDescent="0.3">
      <c r="A55" s="35"/>
      <c r="B55" s="13"/>
      <c r="C55" s="63"/>
      <c r="D55" s="303" t="s">
        <v>451</v>
      </c>
      <c r="E55" s="35"/>
      <c r="F55" s="35"/>
      <c r="G55" s="765">
        <v>0</v>
      </c>
      <c r="H55" s="765">
        <v>0</v>
      </c>
      <c r="I55" s="765">
        <v>0</v>
      </c>
      <c r="J55" s="765">
        <v>0</v>
      </c>
      <c r="K55" s="765">
        <v>4.2176217889891433E-2</v>
      </c>
      <c r="L55" s="765">
        <v>4.5327815341385712E-2</v>
      </c>
      <c r="M55" s="765">
        <v>5.4026699032615297E-2</v>
      </c>
      <c r="N55" s="765">
        <v>6.5144095825904205E-2</v>
      </c>
      <c r="O55" s="765">
        <v>7.6504414003857615E-2</v>
      </c>
      <c r="P55" s="765">
        <v>9.0450544969598534E-2</v>
      </c>
      <c r="Q55" s="765">
        <v>0.10234287673677536</v>
      </c>
      <c r="R55" s="61">
        <v>0.11517037522754188</v>
      </c>
      <c r="S55" s="61">
        <v>0.12898843584462405</v>
      </c>
      <c r="T55" s="61">
        <v>0.14342959125983243</v>
      </c>
      <c r="U55" s="766">
        <v>0.15912470764974798</v>
      </c>
      <c r="V55" s="767">
        <v>0.17574237566129342</v>
      </c>
    </row>
    <row r="56" spans="1:97" ht="15" customHeight="1" x14ac:dyDescent="0.3">
      <c r="A56" s="35"/>
      <c r="C56" s="63"/>
      <c r="D56" s="303"/>
      <c r="E56" s="35"/>
      <c r="F56" s="35"/>
      <c r="G56" s="35"/>
      <c r="H56" s="35"/>
      <c r="I56" s="35"/>
      <c r="J56" s="35"/>
      <c r="K56" s="35"/>
      <c r="L56" s="35"/>
      <c r="M56" s="35"/>
      <c r="N56" s="35"/>
      <c r="O56" s="35"/>
      <c r="P56" s="35"/>
      <c r="Q56" s="35"/>
    </row>
    <row r="57" spans="1:97" ht="15" customHeight="1" x14ac:dyDescent="0.3">
      <c r="A57" s="35"/>
      <c r="B57" s="35"/>
      <c r="C57" s="35"/>
      <c r="D57" s="35"/>
      <c r="E57" s="35"/>
      <c r="F57" s="35"/>
      <c r="G57" s="35"/>
      <c r="H57" s="35"/>
      <c r="I57" s="35"/>
      <c r="J57" s="35"/>
      <c r="K57" s="35"/>
      <c r="L57" s="35"/>
      <c r="M57" s="35"/>
      <c r="N57" s="35"/>
      <c r="O57" s="35"/>
      <c r="P57" s="35"/>
      <c r="Q57" s="35"/>
    </row>
    <row r="58" spans="1:97" ht="15" customHeight="1" x14ac:dyDescent="0.3">
      <c r="A58" s="35"/>
      <c r="B58" s="35"/>
      <c r="C58" s="35"/>
      <c r="D58" s="35"/>
      <c r="E58" s="35"/>
      <c r="F58" s="35"/>
      <c r="G58" s="35"/>
      <c r="H58" s="35"/>
      <c r="I58" s="35"/>
      <c r="J58" s="35"/>
      <c r="K58" s="35"/>
      <c r="L58" s="35"/>
      <c r="M58" s="35"/>
      <c r="N58" s="35"/>
      <c r="O58" s="35"/>
      <c r="P58" s="35"/>
      <c r="Q58" s="35"/>
    </row>
    <row r="59" spans="1:97" ht="15" customHeight="1" x14ac:dyDescent="0.3">
      <c r="A59" s="35"/>
      <c r="B59" s="35"/>
      <c r="C59" s="35"/>
      <c r="D59" s="35"/>
      <c r="E59" s="35"/>
      <c r="F59" s="35"/>
      <c r="G59" s="35"/>
      <c r="H59" s="35"/>
      <c r="I59" s="35"/>
      <c r="J59" s="35"/>
      <c r="K59" s="35"/>
      <c r="L59" s="35"/>
      <c r="M59" s="35"/>
      <c r="N59" s="35"/>
      <c r="O59" s="35"/>
      <c r="P59" s="35"/>
      <c r="Q59" s="35"/>
    </row>
    <row r="60" spans="1:97" s="801" customFormat="1" ht="29.4" customHeight="1" x14ac:dyDescent="0.4">
      <c r="A60" s="799"/>
      <c r="B60" s="307" t="s">
        <v>452</v>
      </c>
      <c r="C60" s="308"/>
      <c r="D60" s="309"/>
      <c r="E60" s="309"/>
      <c r="F60" s="309"/>
      <c r="G60" s="309"/>
      <c r="H60" s="310"/>
      <c r="I60" s="310"/>
      <c r="J60" s="310"/>
      <c r="K60" s="310"/>
      <c r="L60" s="310"/>
      <c r="M60" s="310"/>
      <c r="N60" s="310"/>
      <c r="O60" s="310"/>
      <c r="P60" s="310"/>
      <c r="Q60" s="311"/>
      <c r="R60" s="312"/>
      <c r="S60" s="312"/>
      <c r="T60" s="312"/>
      <c r="U60" s="312"/>
      <c r="V60" s="312"/>
      <c r="W60" s="312"/>
      <c r="X60" s="313"/>
      <c r="Y60" s="313"/>
      <c r="Z60" s="313"/>
      <c r="AA60" s="313"/>
      <c r="AB60" s="313"/>
      <c r="AC60" s="313"/>
      <c r="AD60" s="313"/>
      <c r="AE60" s="313"/>
      <c r="AF60" s="313"/>
      <c r="AG60" s="314"/>
      <c r="AH60" s="314"/>
      <c r="AI60" s="314"/>
      <c r="AJ60" s="314"/>
      <c r="AK60" s="314"/>
      <c r="AL60" s="314"/>
      <c r="AM60" s="314"/>
      <c r="AN60" s="314"/>
      <c r="AO60" s="314"/>
      <c r="AP60" s="314"/>
      <c r="AQ60" s="314"/>
      <c r="AR60" s="314"/>
      <c r="AS60" s="314"/>
      <c r="AT60" s="314"/>
      <c r="AU60" s="314"/>
      <c r="AV60" s="314"/>
      <c r="AW60" s="314"/>
      <c r="AX60" s="314"/>
      <c r="AY60" s="314"/>
      <c r="AZ60" s="314"/>
      <c r="BA60" s="314"/>
      <c r="BB60" s="314"/>
      <c r="BC60" s="314"/>
      <c r="BD60" s="800"/>
      <c r="BE60" s="800"/>
      <c r="BF60" s="800"/>
      <c r="BG60" s="800"/>
      <c r="BH60" s="800"/>
      <c r="BI60" s="800"/>
      <c r="BJ60" s="800"/>
      <c r="BK60" s="800"/>
      <c r="BL60" s="800"/>
      <c r="BM60" s="800"/>
      <c r="BN60" s="800"/>
      <c r="BO60" s="800"/>
      <c r="BP60" s="800"/>
      <c r="BQ60" s="800"/>
      <c r="BR60" s="800"/>
      <c r="BS60" s="800"/>
      <c r="BT60" s="800"/>
      <c r="BU60" s="800"/>
      <c r="BV60" s="800"/>
      <c r="BW60" s="800"/>
      <c r="BX60" s="800"/>
      <c r="BY60" s="800"/>
      <c r="BZ60" s="800"/>
      <c r="CA60" s="800"/>
      <c r="CB60" s="800"/>
      <c r="CC60" s="800"/>
      <c r="CD60" s="800"/>
      <c r="CE60" s="800"/>
      <c r="CF60" s="800"/>
      <c r="CG60" s="800"/>
      <c r="CH60" s="800"/>
      <c r="CI60" s="800"/>
      <c r="CJ60" s="800"/>
      <c r="CK60" s="800"/>
      <c r="CL60" s="800"/>
      <c r="CM60" s="800"/>
      <c r="CN60" s="800"/>
      <c r="CO60" s="800"/>
      <c r="CP60" s="800"/>
      <c r="CQ60" s="800"/>
      <c r="CR60" s="800"/>
      <c r="CS60" s="800"/>
    </row>
    <row r="61" spans="1:97" s="804" customFormat="1" ht="17.100000000000001" customHeight="1" x14ac:dyDescent="0.4">
      <c r="A61" s="802"/>
      <c r="B61" s="1064" t="s">
        <v>453</v>
      </c>
      <c r="C61" s="1064"/>
      <c r="D61" s="1064"/>
      <c r="E61" s="1064"/>
      <c r="F61" s="1064"/>
      <c r="G61" s="1064"/>
      <c r="H61" s="1064"/>
      <c r="I61" s="1064"/>
      <c r="J61" s="1064"/>
      <c r="K61" s="1064"/>
      <c r="L61" s="1064"/>
      <c r="M61" s="1064"/>
      <c r="N61" s="1064"/>
      <c r="O61" s="1064"/>
      <c r="P61" s="1064"/>
      <c r="Q61" s="1064"/>
      <c r="R61" s="1064"/>
      <c r="S61" s="1064"/>
      <c r="T61" s="752"/>
      <c r="U61" s="752"/>
      <c r="V61" s="752"/>
      <c r="W61" s="752"/>
      <c r="X61" s="753"/>
      <c r="Y61" s="753"/>
      <c r="Z61" s="753"/>
      <c r="AA61" s="753"/>
      <c r="AB61" s="753"/>
      <c r="AC61" s="753"/>
      <c r="AD61" s="753"/>
      <c r="AE61" s="753"/>
      <c r="AF61" s="753"/>
      <c r="AG61" s="754"/>
      <c r="AH61" s="754"/>
      <c r="AI61" s="754"/>
      <c r="AJ61" s="754"/>
      <c r="AK61" s="754"/>
      <c r="AL61" s="754"/>
      <c r="AM61" s="754"/>
      <c r="AN61" s="754"/>
      <c r="AO61" s="754"/>
      <c r="AP61" s="754"/>
      <c r="AQ61" s="754"/>
      <c r="AR61" s="754"/>
      <c r="AS61" s="754"/>
      <c r="AT61" s="754"/>
      <c r="AU61" s="754"/>
      <c r="AV61" s="754"/>
      <c r="AW61" s="754"/>
      <c r="AX61" s="754"/>
      <c r="AY61" s="754"/>
      <c r="AZ61" s="754"/>
      <c r="BA61" s="754"/>
      <c r="BB61" s="754"/>
      <c r="BC61" s="754"/>
      <c r="BD61" s="803"/>
      <c r="BE61" s="803"/>
      <c r="BF61" s="803"/>
      <c r="BG61" s="803"/>
      <c r="BH61" s="803"/>
      <c r="BI61" s="803"/>
      <c r="BJ61" s="803"/>
      <c r="BK61" s="803"/>
      <c r="BL61" s="803"/>
      <c r="BM61" s="803"/>
      <c r="BN61" s="803"/>
      <c r="BO61" s="803"/>
      <c r="BP61" s="803"/>
      <c r="BQ61" s="803"/>
      <c r="BR61" s="803"/>
      <c r="BS61" s="803"/>
      <c r="BT61" s="803"/>
      <c r="BU61" s="803"/>
      <c r="BV61" s="803"/>
      <c r="BW61" s="803"/>
      <c r="BX61" s="803"/>
      <c r="BY61" s="803"/>
      <c r="BZ61" s="803"/>
      <c r="CA61" s="803"/>
      <c r="CB61" s="803"/>
      <c r="CC61" s="803"/>
      <c r="CD61" s="803"/>
      <c r="CE61" s="803"/>
      <c r="CF61" s="803"/>
      <c r="CG61" s="803"/>
      <c r="CH61" s="803"/>
      <c r="CI61" s="803"/>
      <c r="CJ61" s="803"/>
      <c r="CK61" s="803"/>
      <c r="CL61" s="803"/>
      <c r="CM61" s="803"/>
      <c r="CN61" s="803"/>
      <c r="CO61" s="803"/>
      <c r="CP61" s="803"/>
      <c r="CQ61" s="803"/>
      <c r="CR61" s="803"/>
      <c r="CS61" s="803"/>
    </row>
    <row r="62" spans="1:97" s="804" customFormat="1" ht="17.100000000000001" customHeight="1" x14ac:dyDescent="0.4">
      <c r="A62" s="802"/>
      <c r="B62" s="1064"/>
      <c r="C62" s="1064"/>
      <c r="D62" s="1064"/>
      <c r="E62" s="1064"/>
      <c r="F62" s="1064"/>
      <c r="G62" s="1064"/>
      <c r="H62" s="1064"/>
      <c r="I62" s="1064"/>
      <c r="J62" s="1064"/>
      <c r="K62" s="1064"/>
      <c r="L62" s="1064"/>
      <c r="M62" s="1064"/>
      <c r="N62" s="1064"/>
      <c r="O62" s="1064"/>
      <c r="P62" s="1064"/>
      <c r="Q62" s="1064"/>
      <c r="R62" s="1064"/>
      <c r="S62" s="1064"/>
      <c r="T62" s="752"/>
      <c r="U62" s="752"/>
      <c r="V62" s="752"/>
      <c r="W62" s="752"/>
      <c r="X62" s="753"/>
      <c r="Y62" s="753"/>
      <c r="Z62" s="753"/>
      <c r="AA62" s="753"/>
      <c r="AB62" s="753"/>
      <c r="AC62" s="753"/>
      <c r="AD62" s="753"/>
      <c r="AE62" s="753"/>
      <c r="AF62" s="753"/>
      <c r="AG62" s="754"/>
      <c r="AH62" s="754"/>
      <c r="AI62" s="754"/>
      <c r="AJ62" s="754"/>
      <c r="AK62" s="754"/>
      <c r="AL62" s="754"/>
      <c r="AM62" s="754"/>
      <c r="AN62" s="754"/>
      <c r="AO62" s="754"/>
      <c r="AP62" s="754"/>
      <c r="AQ62" s="754"/>
      <c r="AR62" s="754"/>
      <c r="AS62" s="754"/>
      <c r="AT62" s="754"/>
      <c r="AU62" s="754"/>
      <c r="AV62" s="754"/>
      <c r="AW62" s="754"/>
      <c r="AX62" s="754"/>
      <c r="AY62" s="754"/>
      <c r="AZ62" s="754"/>
      <c r="BA62" s="754"/>
      <c r="BB62" s="754"/>
      <c r="BC62" s="754"/>
      <c r="BD62" s="803"/>
      <c r="BE62" s="803"/>
      <c r="BF62" s="803"/>
      <c r="BG62" s="803"/>
      <c r="BH62" s="803"/>
      <c r="BI62" s="803"/>
      <c r="BJ62" s="803"/>
      <c r="BK62" s="803"/>
      <c r="BL62" s="803"/>
      <c r="BM62" s="803"/>
      <c r="BN62" s="803"/>
      <c r="BO62" s="803"/>
      <c r="BP62" s="803"/>
      <c r="BQ62" s="803"/>
      <c r="BR62" s="803"/>
      <c r="BS62" s="803"/>
      <c r="BT62" s="803"/>
      <c r="BU62" s="803"/>
      <c r="BV62" s="803"/>
      <c r="BW62" s="803"/>
      <c r="BX62" s="803"/>
      <c r="BY62" s="803"/>
      <c r="BZ62" s="803"/>
      <c r="CA62" s="803"/>
      <c r="CB62" s="803"/>
      <c r="CC62" s="803"/>
      <c r="CD62" s="803"/>
      <c r="CE62" s="803"/>
      <c r="CF62" s="803"/>
      <c r="CG62" s="803"/>
      <c r="CH62" s="803"/>
      <c r="CI62" s="803"/>
      <c r="CJ62" s="803"/>
      <c r="CK62" s="803"/>
      <c r="CL62" s="803"/>
      <c r="CM62" s="803"/>
      <c r="CN62" s="803"/>
      <c r="CO62" s="803"/>
      <c r="CP62" s="803"/>
      <c r="CQ62" s="803"/>
      <c r="CR62" s="803"/>
      <c r="CS62" s="803"/>
    </row>
    <row r="63" spans="1:97" s="804" customFormat="1" ht="17.100000000000001" customHeight="1" x14ac:dyDescent="0.4">
      <c r="A63" s="802"/>
      <c r="B63" s="1064"/>
      <c r="C63" s="1064"/>
      <c r="D63" s="1064"/>
      <c r="E63" s="1064"/>
      <c r="F63" s="1064"/>
      <c r="G63" s="1064"/>
      <c r="H63" s="1064"/>
      <c r="I63" s="1064"/>
      <c r="J63" s="1064"/>
      <c r="K63" s="1064"/>
      <c r="L63" s="1064"/>
      <c r="M63" s="1064"/>
      <c r="N63" s="1064"/>
      <c r="O63" s="1064"/>
      <c r="P63" s="1064"/>
      <c r="Q63" s="1064"/>
      <c r="R63" s="1064"/>
      <c r="S63" s="1064"/>
      <c r="T63" s="752"/>
      <c r="U63" s="752"/>
      <c r="V63" s="752"/>
      <c r="W63" s="752"/>
      <c r="X63" s="753"/>
      <c r="Y63" s="753"/>
      <c r="Z63" s="753"/>
      <c r="AA63" s="753"/>
      <c r="AB63" s="753"/>
      <c r="AC63" s="753"/>
      <c r="AD63" s="753"/>
      <c r="AE63" s="753"/>
      <c r="AF63" s="753"/>
      <c r="AG63" s="754"/>
      <c r="AH63" s="754"/>
      <c r="AI63" s="754"/>
      <c r="AJ63" s="754"/>
      <c r="AK63" s="754"/>
      <c r="AL63" s="754"/>
      <c r="AM63" s="754"/>
      <c r="AN63" s="754"/>
      <c r="AO63" s="754"/>
      <c r="AP63" s="754"/>
      <c r="AQ63" s="754"/>
      <c r="AR63" s="754"/>
      <c r="AS63" s="754"/>
      <c r="AT63" s="754"/>
      <c r="AU63" s="754"/>
      <c r="AV63" s="754"/>
      <c r="AW63" s="754"/>
      <c r="AX63" s="754"/>
      <c r="AY63" s="754"/>
      <c r="AZ63" s="754"/>
      <c r="BA63" s="754"/>
      <c r="BB63" s="754"/>
      <c r="BC63" s="754"/>
      <c r="BD63" s="803"/>
      <c r="BE63" s="803"/>
      <c r="BF63" s="803"/>
      <c r="BG63" s="803"/>
      <c r="BH63" s="803"/>
      <c r="BI63" s="803"/>
      <c r="BJ63" s="803"/>
      <c r="BK63" s="803"/>
      <c r="BL63" s="803"/>
      <c r="BM63" s="803"/>
      <c r="BN63" s="803"/>
      <c r="BO63" s="803"/>
      <c r="BP63" s="803"/>
      <c r="BQ63" s="803"/>
      <c r="BR63" s="803"/>
      <c r="BS63" s="803"/>
      <c r="BT63" s="803"/>
      <c r="BU63" s="803"/>
      <c r="BV63" s="803"/>
      <c r="BW63" s="803"/>
      <c r="BX63" s="803"/>
      <c r="BY63" s="803"/>
      <c r="BZ63" s="803"/>
      <c r="CA63" s="803"/>
      <c r="CB63" s="803"/>
      <c r="CC63" s="803"/>
      <c r="CD63" s="803"/>
      <c r="CE63" s="803"/>
      <c r="CF63" s="803"/>
      <c r="CG63" s="803"/>
      <c r="CH63" s="803"/>
      <c r="CI63" s="803"/>
      <c r="CJ63" s="803"/>
      <c r="CK63" s="803"/>
      <c r="CL63" s="803"/>
      <c r="CM63" s="803"/>
      <c r="CN63" s="803"/>
      <c r="CO63" s="803"/>
      <c r="CP63" s="803"/>
      <c r="CQ63" s="803"/>
      <c r="CR63" s="803"/>
      <c r="CS63" s="803"/>
    </row>
    <row r="64" spans="1:97" s="804" customFormat="1" ht="17.100000000000001" customHeight="1" x14ac:dyDescent="0.4">
      <c r="A64" s="802"/>
      <c r="B64" s="1064"/>
      <c r="C64" s="1064"/>
      <c r="D64" s="1064"/>
      <c r="E64" s="1064"/>
      <c r="F64" s="1064"/>
      <c r="G64" s="1064"/>
      <c r="H64" s="1064"/>
      <c r="I64" s="1064"/>
      <c r="J64" s="1064"/>
      <c r="K64" s="1064"/>
      <c r="L64" s="1064"/>
      <c r="M64" s="1064"/>
      <c r="N64" s="1064"/>
      <c r="O64" s="1064"/>
      <c r="P64" s="1064"/>
      <c r="Q64" s="1064"/>
      <c r="R64" s="1064"/>
      <c r="S64" s="1064"/>
      <c r="T64" s="752"/>
      <c r="U64" s="752"/>
      <c r="V64" s="752"/>
      <c r="W64" s="752"/>
      <c r="X64" s="753"/>
      <c r="Y64" s="753"/>
      <c r="Z64" s="753"/>
      <c r="AA64" s="753"/>
      <c r="AB64" s="753"/>
      <c r="AC64" s="753"/>
      <c r="AD64" s="753"/>
      <c r="AE64" s="753"/>
      <c r="AF64" s="753"/>
      <c r="AG64" s="754"/>
      <c r="AH64" s="754"/>
      <c r="AI64" s="754"/>
      <c r="AJ64" s="754"/>
      <c r="AK64" s="754"/>
      <c r="AL64" s="754"/>
      <c r="AM64" s="754"/>
      <c r="AN64" s="754"/>
      <c r="AO64" s="754"/>
      <c r="AP64" s="754"/>
      <c r="AQ64" s="754"/>
      <c r="AR64" s="754"/>
      <c r="AS64" s="754"/>
      <c r="AT64" s="754"/>
      <c r="AU64" s="754"/>
      <c r="AV64" s="754"/>
      <c r="AW64" s="754"/>
      <c r="AX64" s="754"/>
      <c r="AY64" s="754"/>
      <c r="AZ64" s="754"/>
      <c r="BA64" s="754"/>
      <c r="BB64" s="754"/>
      <c r="BC64" s="754"/>
      <c r="BD64" s="803"/>
      <c r="BE64" s="803"/>
      <c r="BF64" s="803"/>
      <c r="BG64" s="803"/>
      <c r="BH64" s="803"/>
      <c r="BI64" s="803"/>
      <c r="BJ64" s="803"/>
      <c r="BK64" s="803"/>
      <c r="BL64" s="803"/>
      <c r="BM64" s="803"/>
      <c r="BN64" s="803"/>
      <c r="BO64" s="803"/>
      <c r="BP64" s="803"/>
      <c r="BQ64" s="803"/>
      <c r="BR64" s="803"/>
      <c r="BS64" s="803"/>
      <c r="BT64" s="803"/>
      <c r="BU64" s="803"/>
      <c r="BV64" s="803"/>
      <c r="BW64" s="803"/>
      <c r="BX64" s="803"/>
      <c r="BY64" s="803"/>
      <c r="BZ64" s="803"/>
      <c r="CA64" s="803"/>
      <c r="CB64" s="803"/>
      <c r="CC64" s="803"/>
      <c r="CD64" s="803"/>
      <c r="CE64" s="803"/>
      <c r="CF64" s="803"/>
      <c r="CG64" s="803"/>
      <c r="CH64" s="803"/>
      <c r="CI64" s="803"/>
      <c r="CJ64" s="803"/>
      <c r="CK64" s="803"/>
      <c r="CL64" s="803"/>
      <c r="CM64" s="803"/>
      <c r="CN64" s="803"/>
      <c r="CO64" s="803"/>
      <c r="CP64" s="803"/>
      <c r="CQ64" s="803"/>
      <c r="CR64" s="803"/>
      <c r="CS64" s="803"/>
    </row>
    <row r="65" spans="2:97" ht="15" customHeight="1" x14ac:dyDescent="0.3">
      <c r="B65" s="35"/>
      <c r="C65" s="35"/>
      <c r="D65" s="173" t="s">
        <v>454</v>
      </c>
      <c r="E65" s="35"/>
      <c r="F65" s="35"/>
      <c r="G65" s="35"/>
      <c r="H65" s="35"/>
      <c r="I65" s="35"/>
      <c r="J65" s="35"/>
      <c r="K65" s="35"/>
      <c r="L65" s="35"/>
      <c r="M65" s="35"/>
      <c r="N65" s="35"/>
      <c r="O65" s="35"/>
      <c r="P65" s="35"/>
      <c r="Q65" s="35"/>
    </row>
    <row r="66" spans="2:97" ht="15" customHeight="1" x14ac:dyDescent="0.3">
      <c r="B66" s="13"/>
      <c r="C66" s="304" t="s">
        <v>455</v>
      </c>
      <c r="E66" s="305">
        <v>0</v>
      </c>
      <c r="F66" s="305">
        <v>2.0833333333333332E-2</v>
      </c>
      <c r="G66" s="305">
        <v>4.1666666666666699E-2</v>
      </c>
      <c r="H66" s="305">
        <v>6.25E-2</v>
      </c>
      <c r="I66" s="305">
        <v>8.3333333333333301E-2</v>
      </c>
      <c r="J66" s="305">
        <v>0.104166666666667</v>
      </c>
      <c r="K66" s="305">
        <v>0.125</v>
      </c>
      <c r="L66" s="305">
        <v>0.14583333333333301</v>
      </c>
      <c r="M66" s="305">
        <v>0.16666666666666699</v>
      </c>
      <c r="N66" s="305">
        <v>0.1875</v>
      </c>
      <c r="O66" s="305">
        <v>0.20833333333333301</v>
      </c>
      <c r="P66" s="305">
        <v>0.22916666666666699</v>
      </c>
      <c r="Q66" s="305">
        <v>0.25</v>
      </c>
      <c r="R66" s="305">
        <v>0.27083333333333298</v>
      </c>
      <c r="S66" s="305">
        <v>0.29166666666666702</v>
      </c>
      <c r="T66" s="305">
        <v>0.3125</v>
      </c>
      <c r="U66" s="305">
        <v>0.33333333333333298</v>
      </c>
      <c r="V66" s="305">
        <v>0.35416666666666702</v>
      </c>
      <c r="W66" s="305">
        <v>0.375</v>
      </c>
      <c r="X66" s="305">
        <v>0.39583333333333298</v>
      </c>
      <c r="Y66" s="305">
        <v>0.41666666666666702</v>
      </c>
      <c r="Z66" s="305">
        <v>0.4375</v>
      </c>
      <c r="AA66" s="305">
        <v>0.45833333333333298</v>
      </c>
      <c r="AB66" s="305">
        <v>0.47916666666666702</v>
      </c>
      <c r="AC66" s="305">
        <v>0.5</v>
      </c>
      <c r="AD66" s="305">
        <v>0.52083333333333304</v>
      </c>
      <c r="AE66" s="305">
        <v>0.54166666666666696</v>
      </c>
      <c r="AF66" s="305">
        <v>0.5625</v>
      </c>
      <c r="AG66" s="305">
        <v>0.58333333333333304</v>
      </c>
      <c r="AH66" s="305">
        <v>0.60416666666666696</v>
      </c>
      <c r="AI66" s="305">
        <v>0.625</v>
      </c>
      <c r="AJ66" s="305">
        <v>0.64583333333333304</v>
      </c>
      <c r="AK66" s="305">
        <v>0.66666666666666696</v>
      </c>
      <c r="AL66" s="305">
        <v>0.6875</v>
      </c>
      <c r="AM66" s="305">
        <v>0.70833333333333304</v>
      </c>
      <c r="AN66" s="305">
        <v>0.72916666666666696</v>
      </c>
      <c r="AO66" s="305">
        <v>0.75</v>
      </c>
      <c r="AP66" s="305">
        <v>0.77083333333333304</v>
      </c>
      <c r="AQ66" s="305">
        <v>0.79166666666666696</v>
      </c>
      <c r="AR66" s="305">
        <v>0.8125</v>
      </c>
      <c r="AS66" s="305">
        <v>0.83333333333333304</v>
      </c>
      <c r="AT66" s="305">
        <v>0.85416666666666696</v>
      </c>
      <c r="AU66" s="305">
        <v>0.875</v>
      </c>
      <c r="AV66" s="305">
        <v>0.89583333333333304</v>
      </c>
      <c r="AW66" s="305">
        <v>0.91666666666666696</v>
      </c>
      <c r="AX66" s="305">
        <v>0.9375</v>
      </c>
      <c r="AY66" s="305">
        <v>0.95833333333333304</v>
      </c>
      <c r="AZ66" s="305">
        <v>0.97916666666666696</v>
      </c>
    </row>
    <row r="67" spans="2:97" ht="15" customHeight="1" x14ac:dyDescent="0.3">
      <c r="B67" s="13"/>
      <c r="C67" s="63"/>
      <c r="D67" s="303" t="s">
        <v>443</v>
      </c>
      <c r="E67" s="768">
        <v>2.1858533851033913E-2</v>
      </c>
      <c r="F67" s="768">
        <v>1.8327902309423123E-2</v>
      </c>
      <c r="G67" s="768">
        <v>1.4845919530641289E-2</v>
      </c>
      <c r="H67" s="768">
        <v>1.1649865552218468E-2</v>
      </c>
      <c r="I67" s="768">
        <v>8.4657525784395758E-3</v>
      </c>
      <c r="J67" s="768">
        <v>6.8365824488574867E-3</v>
      </c>
      <c r="K67" s="768">
        <v>5.1975894191375804E-3</v>
      </c>
      <c r="L67" s="768">
        <v>4.1901699878664012E-3</v>
      </c>
      <c r="M67" s="768">
        <v>3.1823602042295122E-3</v>
      </c>
      <c r="N67" s="768">
        <v>2.7633715294652686E-3</v>
      </c>
      <c r="O67" s="768">
        <v>2.3803584518203476E-3</v>
      </c>
      <c r="P67" s="768">
        <v>2.5224075269830405E-3</v>
      </c>
      <c r="Q67" s="768">
        <v>2.7932889430258979E-3</v>
      </c>
      <c r="R67" s="769">
        <v>3.6845929977536414E-3</v>
      </c>
      <c r="S67" s="769">
        <v>5.0533728107426176E-3</v>
      </c>
      <c r="T67" s="769">
        <v>7.4957182984662502E-3</v>
      </c>
      <c r="U67" s="758">
        <v>9.9870666191846386E-3</v>
      </c>
      <c r="V67" s="763">
        <v>1.192322606671556E-2</v>
      </c>
      <c r="W67" s="687">
        <v>1.2983109588837999E-2</v>
      </c>
      <c r="X67" s="687">
        <v>1.2401040045394631E-2</v>
      </c>
      <c r="Y67" s="687">
        <v>1.3109812475686503E-2</v>
      </c>
      <c r="Z67" s="687">
        <v>1.3070083403991854E-2</v>
      </c>
      <c r="AA67" s="687">
        <v>1.3592456897518E-2</v>
      </c>
      <c r="AB67" s="687">
        <v>1.3949202435242222E-2</v>
      </c>
      <c r="AC67" s="687">
        <v>1.4275062920939125E-2</v>
      </c>
      <c r="AD67" s="687">
        <v>1.4721985027932052E-2</v>
      </c>
      <c r="AE67" s="687">
        <v>1.5046967058515328E-2</v>
      </c>
      <c r="AF67" s="687">
        <v>1.5186038763260339E-2</v>
      </c>
      <c r="AG67" s="687">
        <v>1.5118684246444464E-2</v>
      </c>
      <c r="AH67" s="687">
        <v>1.6121691215365466E-2</v>
      </c>
      <c r="AI67" s="687">
        <v>1.7053069076576711E-2</v>
      </c>
      <c r="AJ67" s="687">
        <v>2.049734822765386E-2</v>
      </c>
      <c r="AK67" s="687">
        <v>2.3722554932494328E-2</v>
      </c>
      <c r="AL67" s="687">
        <v>2.9016629117465904E-2</v>
      </c>
      <c r="AM67" s="687">
        <v>3.4787570504138617E-2</v>
      </c>
      <c r="AN67" s="687">
        <v>4.1770435124134739E-2</v>
      </c>
      <c r="AO67" s="687">
        <v>4.8849727431268551E-2</v>
      </c>
      <c r="AP67" s="687">
        <v>5.0177852364088893E-2</v>
      </c>
      <c r="AQ67" s="687">
        <v>5.1585393395738463E-2</v>
      </c>
      <c r="AR67" s="687">
        <v>5.2262428732892746E-2</v>
      </c>
      <c r="AS67" s="687">
        <v>5.0198363243418462E-2</v>
      </c>
      <c r="AT67" s="687">
        <v>4.6214053647375554E-2</v>
      </c>
      <c r="AU67" s="687">
        <v>4.2312479430805724E-2</v>
      </c>
      <c r="AV67" s="687">
        <v>4.1115475718677054E-2</v>
      </c>
      <c r="AW67" s="687">
        <v>3.9941451545568184E-2</v>
      </c>
      <c r="AX67" s="687">
        <v>3.6367312179736093E-2</v>
      </c>
      <c r="AY67" s="687">
        <v>3.2807647834574898E-2</v>
      </c>
      <c r="AZ67" s="687">
        <v>2.8585994288258615E-2</v>
      </c>
      <c r="BF67" s="770"/>
      <c r="BG67" s="770"/>
      <c r="BH67" s="770"/>
      <c r="BI67" s="770"/>
      <c r="BJ67" s="770"/>
      <c r="BK67" s="770"/>
      <c r="BL67" s="770"/>
      <c r="BM67" s="770"/>
      <c r="BN67" s="770"/>
      <c r="BO67" s="770"/>
      <c r="BP67" s="770"/>
      <c r="BQ67" s="770"/>
      <c r="BR67" s="770"/>
      <c r="BS67" s="770"/>
      <c r="BT67" s="770"/>
      <c r="BU67" s="770"/>
      <c r="BV67" s="770"/>
      <c r="BW67" s="770"/>
      <c r="BX67" s="770"/>
      <c r="BY67" s="770"/>
      <c r="BZ67" s="770"/>
      <c r="CA67" s="770"/>
      <c r="CB67" s="770"/>
      <c r="CC67" s="770"/>
      <c r="CD67" s="770"/>
      <c r="CE67" s="770"/>
      <c r="CF67" s="770"/>
      <c r="CG67" s="770"/>
      <c r="CH67" s="770"/>
      <c r="CI67" s="770"/>
      <c r="CJ67" s="770"/>
      <c r="CK67" s="770"/>
      <c r="CL67" s="770"/>
      <c r="CM67" s="770"/>
      <c r="CN67" s="770"/>
      <c r="CO67" s="770"/>
      <c r="CP67" s="770"/>
      <c r="CQ67" s="770"/>
      <c r="CR67" s="770"/>
      <c r="CS67" s="770"/>
    </row>
    <row r="68" spans="2:97" ht="15" customHeight="1" x14ac:dyDescent="0.3">
      <c r="B68" s="13"/>
      <c r="C68" s="63"/>
      <c r="D68" s="303" t="s">
        <v>444</v>
      </c>
      <c r="E68" s="768">
        <v>4.1895655815744642E-2</v>
      </c>
      <c r="F68" s="768">
        <v>5.2223163994949168E-2</v>
      </c>
      <c r="G68" s="768">
        <v>5.3921422137841443E-2</v>
      </c>
      <c r="H68" s="768">
        <v>5.4197617905175757E-2</v>
      </c>
      <c r="I68" s="768">
        <v>5.6015028754872992E-2</v>
      </c>
      <c r="J68" s="768">
        <v>5.600700331728431E-2</v>
      </c>
      <c r="K68" s="768">
        <v>5.4375680231814848E-2</v>
      </c>
      <c r="L68" s="768">
        <v>5.1013580098212469E-2</v>
      </c>
      <c r="M68" s="768">
        <v>4.4090304839018858E-2</v>
      </c>
      <c r="N68" s="768">
        <v>3.607568879899177E-2</v>
      </c>
      <c r="O68" s="768">
        <v>2.8378678478720529E-2</v>
      </c>
      <c r="P68" s="768">
        <v>2.2420909513603093E-2</v>
      </c>
      <c r="Q68" s="768">
        <v>1.7905849012468823E-2</v>
      </c>
      <c r="R68" s="769">
        <v>1.5589370033489867E-2</v>
      </c>
      <c r="S68" s="769">
        <v>1.2245579809816371E-2</v>
      </c>
      <c r="T68" s="769">
        <v>1.0500432538123021E-2</v>
      </c>
      <c r="U68" s="758">
        <v>9.4230516268436065E-3</v>
      </c>
      <c r="V68" s="763">
        <v>6.5118662876068366E-3</v>
      </c>
      <c r="W68" s="687">
        <v>5.8603297675147064E-3</v>
      </c>
      <c r="X68" s="687">
        <v>4.6623609451993875E-3</v>
      </c>
      <c r="Y68" s="687">
        <v>5.0602726128939797E-3</v>
      </c>
      <c r="Z68" s="687">
        <v>5.5896561270187117E-3</v>
      </c>
      <c r="AA68" s="687">
        <v>5.8561083900212571E-3</v>
      </c>
      <c r="AB68" s="687">
        <v>6.1219758913334246E-3</v>
      </c>
      <c r="AC68" s="687">
        <v>6.3876505457051477E-3</v>
      </c>
      <c r="AD68" s="687">
        <v>6.9170465015679734E-3</v>
      </c>
      <c r="AE68" s="687">
        <v>6.6568275493500894E-3</v>
      </c>
      <c r="AF68" s="687">
        <v>6.922707492400349E-3</v>
      </c>
      <c r="AG68" s="687">
        <v>7.0575137246394496E-3</v>
      </c>
      <c r="AH68" s="687">
        <v>7.4552138827864581E-3</v>
      </c>
      <c r="AI68" s="687">
        <v>7.9844232125778885E-3</v>
      </c>
      <c r="AJ68" s="687">
        <v>9.830590519527482E-3</v>
      </c>
      <c r="AK68" s="687">
        <v>1.0754762825085435E-2</v>
      </c>
      <c r="AL68" s="687">
        <v>1.1283909946186395E-2</v>
      </c>
      <c r="AM68" s="687">
        <v>1.2208517712577605E-2</v>
      </c>
      <c r="AN68" s="687">
        <v>1.3396392657019515E-2</v>
      </c>
      <c r="AO68" s="687">
        <v>1.4057422201907692E-2</v>
      </c>
      <c r="AP68" s="687">
        <v>1.5508377698328905E-2</v>
      </c>
      <c r="AQ68" s="687">
        <v>1.6564432427674067E-2</v>
      </c>
      <c r="AR68" s="687">
        <v>1.7093828383536899E-2</v>
      </c>
      <c r="AS68" s="687">
        <v>1.7359646117896692E-2</v>
      </c>
      <c r="AT68" s="687">
        <v>1.9205875633536752E-2</v>
      </c>
      <c r="AU68" s="687">
        <v>2.0393501743216802E-2</v>
      </c>
      <c r="AV68" s="687">
        <v>2.0791637362197076E-2</v>
      </c>
      <c r="AW68" s="687">
        <v>2.1847443256780369E-2</v>
      </c>
      <c r="AX68" s="687">
        <v>2.2772051023171581E-2</v>
      </c>
      <c r="AY68" s="687">
        <v>2.4749665293075127E-2</v>
      </c>
      <c r="AZ68" s="687">
        <v>2.6858975360694499E-2</v>
      </c>
      <c r="BF68" s="770"/>
      <c r="BG68" s="770"/>
      <c r="BH68" s="770"/>
      <c r="BI68" s="770"/>
      <c r="BJ68" s="770"/>
      <c r="BK68" s="770"/>
      <c r="BL68" s="770"/>
      <c r="BM68" s="770"/>
      <c r="BN68" s="770"/>
      <c r="BO68" s="770"/>
      <c r="BP68" s="770"/>
      <c r="BQ68" s="770"/>
      <c r="BR68" s="770"/>
      <c r="BS68" s="770"/>
      <c r="BT68" s="770"/>
      <c r="BU68" s="770"/>
      <c r="BV68" s="770"/>
      <c r="BW68" s="770"/>
      <c r="BX68" s="770"/>
      <c r="BY68" s="770"/>
      <c r="BZ68" s="770"/>
      <c r="CA68" s="770"/>
      <c r="CB68" s="770"/>
      <c r="CC68" s="770"/>
      <c r="CD68" s="770"/>
      <c r="CE68" s="770"/>
      <c r="CF68" s="770"/>
      <c r="CG68" s="770"/>
      <c r="CH68" s="770"/>
      <c r="CI68" s="770"/>
      <c r="CJ68" s="770"/>
      <c r="CK68" s="770"/>
      <c r="CL68" s="770"/>
      <c r="CM68" s="770"/>
      <c r="CN68" s="770"/>
      <c r="CO68" s="770"/>
      <c r="CP68" s="770"/>
      <c r="CQ68" s="770"/>
      <c r="CR68" s="770"/>
      <c r="CS68" s="770"/>
    </row>
    <row r="69" spans="2:97" ht="15" customHeight="1" x14ac:dyDescent="0.3">
      <c r="B69" s="13"/>
      <c r="C69" s="63"/>
      <c r="D69" s="303" t="s">
        <v>445</v>
      </c>
      <c r="E69" s="1065" t="s">
        <v>456</v>
      </c>
      <c r="F69" s="1065"/>
      <c r="G69" s="1065"/>
      <c r="H69" s="1065"/>
      <c r="I69" s="1065"/>
      <c r="J69" s="1065"/>
      <c r="K69" s="1065"/>
      <c r="L69" s="1065"/>
      <c r="M69" s="1065"/>
      <c r="N69" s="1065"/>
      <c r="O69" s="1065"/>
      <c r="P69" s="1065"/>
      <c r="Q69" s="1065"/>
      <c r="R69" s="1065"/>
      <c r="S69" s="1065"/>
      <c r="T69" s="1065"/>
      <c r="U69" s="1065"/>
      <c r="V69" s="1065"/>
      <c r="W69" s="1065"/>
      <c r="X69" s="1065"/>
      <c r="Y69" s="1065"/>
      <c r="Z69" s="1065"/>
      <c r="AA69" s="1065"/>
      <c r="AB69" s="1065"/>
      <c r="AC69" s="1065"/>
      <c r="AD69" s="1065"/>
      <c r="AE69" s="1065"/>
      <c r="AF69" s="1065"/>
      <c r="AG69" s="1065"/>
      <c r="AH69" s="1065"/>
      <c r="AI69" s="1065"/>
      <c r="AJ69" s="1065"/>
      <c r="AK69" s="1065"/>
      <c r="AL69" s="1065"/>
      <c r="AM69" s="1065"/>
      <c r="AN69" s="1065"/>
      <c r="AO69" s="1065"/>
      <c r="AP69" s="1065"/>
      <c r="AQ69" s="1065"/>
      <c r="AR69" s="1065"/>
      <c r="AS69" s="1065"/>
      <c r="AT69" s="1065"/>
      <c r="AU69" s="1065"/>
      <c r="AV69" s="1065"/>
      <c r="AW69" s="1065"/>
      <c r="AX69" s="1065"/>
      <c r="AY69" s="1065"/>
      <c r="AZ69" s="1065"/>
    </row>
    <row r="70" spans="2:97" ht="15" customHeight="1" x14ac:dyDescent="0.3">
      <c r="C70" s="63"/>
      <c r="D70" s="303" t="s">
        <v>446</v>
      </c>
      <c r="E70" s="768">
        <v>-5.0435580009170103E-2</v>
      </c>
      <c r="F70" s="768">
        <v>-5.0435580009170103E-2</v>
      </c>
      <c r="G70" s="768">
        <v>-5.0435580009170103E-2</v>
      </c>
      <c r="H70" s="768">
        <v>-4.8143053645116916E-2</v>
      </c>
      <c r="I70" s="768">
        <v>-4.585052728106373E-2</v>
      </c>
      <c r="J70" s="768">
        <v>-5.0435580009170103E-2</v>
      </c>
      <c r="K70" s="768">
        <v>-5.5020632737276469E-2</v>
      </c>
      <c r="L70" s="768">
        <v>-5.0435580009170103E-2</v>
      </c>
      <c r="M70" s="768">
        <v>-4.585052728106373E-2</v>
      </c>
      <c r="N70" s="768">
        <v>-5.5020632737276469E-2</v>
      </c>
      <c r="O70" s="768">
        <v>-6.4190738193489208E-2</v>
      </c>
      <c r="P70" s="768">
        <v>-6.4190738193489208E-2</v>
      </c>
      <c r="Q70" s="768">
        <v>-6.4190738193489208E-2</v>
      </c>
      <c r="R70" s="769">
        <v>-5.2728106373223282E-2</v>
      </c>
      <c r="S70" s="769">
        <v>-4.1265474552957357E-2</v>
      </c>
      <c r="T70" s="769">
        <v>-5.9605685465382849E-2</v>
      </c>
      <c r="U70" s="758">
        <v>-7.7945896377808341E-2</v>
      </c>
      <c r="V70" s="763">
        <v>-1.6047684548372299E-2</v>
      </c>
      <c r="W70" s="687">
        <v>4.585052728106373E-2</v>
      </c>
      <c r="X70" s="687">
        <v>7.3360843649701968E-2</v>
      </c>
      <c r="Y70" s="687">
        <v>0.10087116001834021</v>
      </c>
      <c r="Z70" s="687">
        <v>0.12150389729481889</v>
      </c>
      <c r="AA70" s="687">
        <v>0.14213663457129755</v>
      </c>
      <c r="AB70" s="687">
        <v>0.22008253094910588</v>
      </c>
      <c r="AC70" s="687">
        <v>0.2980284273269142</v>
      </c>
      <c r="AD70" s="687">
        <v>0.30719853278312698</v>
      </c>
      <c r="AE70" s="687">
        <v>0.31636863823933975</v>
      </c>
      <c r="AF70" s="687">
        <v>0.2980284273269142</v>
      </c>
      <c r="AG70" s="687">
        <v>0.27968821641448871</v>
      </c>
      <c r="AH70" s="687">
        <v>0.27281063732232913</v>
      </c>
      <c r="AI70" s="687">
        <v>0.26593305823016961</v>
      </c>
      <c r="AJ70" s="687">
        <v>0.26593305823016961</v>
      </c>
      <c r="AK70" s="687">
        <v>0.26593305823016961</v>
      </c>
      <c r="AL70" s="687">
        <v>0.22696011004126543</v>
      </c>
      <c r="AM70" s="687">
        <v>0.18798716185236128</v>
      </c>
      <c r="AN70" s="687">
        <v>0.13755158184319119</v>
      </c>
      <c r="AO70" s="687">
        <v>8.7116001834021073E-2</v>
      </c>
      <c r="AP70" s="687">
        <v>6.7171022466758351E-2</v>
      </c>
      <c r="AQ70" s="687">
        <v>4.7226043099495643E-2</v>
      </c>
      <c r="AR70" s="687">
        <v>-4.9747822099954153E-2</v>
      </c>
      <c r="AS70" s="687">
        <v>-0.14672168729940394</v>
      </c>
      <c r="AT70" s="687">
        <v>-0.18110958276020173</v>
      </c>
      <c r="AU70" s="687">
        <v>-0.21549747822099952</v>
      </c>
      <c r="AV70" s="687">
        <v>-0.26593305823016966</v>
      </c>
      <c r="AW70" s="687">
        <v>-0.31636863823933975</v>
      </c>
      <c r="AX70" s="687">
        <v>-0.31866116460339289</v>
      </c>
      <c r="AY70" s="687">
        <v>-0.32095369096744608</v>
      </c>
      <c r="AZ70" s="687">
        <v>-0.27051811095827599</v>
      </c>
    </row>
    <row r="71" spans="2:97" ht="15" customHeight="1" x14ac:dyDescent="0.3">
      <c r="C71"/>
      <c r="D71" s="303" t="s">
        <v>447</v>
      </c>
      <c r="E71" s="1062" t="s">
        <v>457</v>
      </c>
      <c r="F71" s="1062"/>
      <c r="G71" s="1062"/>
      <c r="H71" s="1062"/>
      <c r="I71" s="1062"/>
      <c r="J71" s="1062"/>
      <c r="K71" s="1062"/>
      <c r="L71" s="1062"/>
      <c r="M71" s="1062"/>
      <c r="N71" s="1062"/>
      <c r="O71" s="1062"/>
      <c r="P71" s="1062"/>
      <c r="Q71" s="1062"/>
      <c r="R71" s="1062"/>
      <c r="S71" s="1062"/>
      <c r="T71" s="1062"/>
      <c r="U71" s="1062"/>
      <c r="V71" s="1062"/>
      <c r="W71" s="1062"/>
      <c r="X71" s="1062"/>
      <c r="Y71" s="1062"/>
      <c r="Z71" s="1062"/>
      <c r="AA71" s="1062"/>
      <c r="AB71" s="1062"/>
      <c r="AC71" s="1062"/>
      <c r="AD71" s="1062"/>
      <c r="AE71" s="1062"/>
      <c r="AF71" s="1062"/>
      <c r="AG71" s="1062"/>
      <c r="AH71" s="1062"/>
      <c r="AI71" s="1062"/>
      <c r="AJ71" s="1062"/>
      <c r="AK71" s="1062"/>
      <c r="AL71" s="1062"/>
      <c r="AM71" s="1062"/>
      <c r="AN71" s="1062"/>
      <c r="AO71" s="1062"/>
      <c r="AP71" s="1062"/>
      <c r="AQ71" s="1062"/>
      <c r="AR71" s="1062"/>
      <c r="AS71" s="1062"/>
      <c r="AT71" s="1062"/>
      <c r="AU71" s="1062"/>
      <c r="AV71" s="1062"/>
      <c r="AW71" s="1062"/>
      <c r="AX71" s="1062"/>
      <c r="AY71" s="1062"/>
      <c r="AZ71" s="1062"/>
    </row>
    <row r="72" spans="2:97" ht="15" customHeight="1" x14ac:dyDescent="0.3">
      <c r="B72" s="35"/>
      <c r="C72"/>
      <c r="E72" s="765"/>
      <c r="F72" s="765"/>
      <c r="G72" s="765"/>
      <c r="H72" s="765"/>
      <c r="I72" s="765"/>
      <c r="J72" s="765"/>
      <c r="K72" s="765"/>
      <c r="L72" s="765"/>
      <c r="M72" s="765"/>
      <c r="N72" s="765"/>
      <c r="O72" s="765"/>
      <c r="P72" s="765"/>
      <c r="Q72" s="765"/>
      <c r="R72" s="61"/>
      <c r="S72" s="61"/>
      <c r="T72" s="61"/>
      <c r="U72" s="766"/>
      <c r="V72" s="767"/>
      <c r="W72" s="770"/>
      <c r="X72" s="770"/>
      <c r="Y72" s="770"/>
      <c r="Z72" s="770"/>
      <c r="AA72" s="770"/>
      <c r="AB72" s="770"/>
      <c r="AC72" s="770"/>
      <c r="AD72" s="770"/>
      <c r="AE72" s="770"/>
      <c r="AF72" s="770"/>
      <c r="AG72" s="770"/>
      <c r="AH72" s="770"/>
      <c r="AI72" s="770"/>
      <c r="AJ72" s="770"/>
      <c r="AK72" s="770"/>
      <c r="AL72" s="770"/>
      <c r="AM72" s="770"/>
      <c r="AN72" s="770"/>
      <c r="AO72" s="770"/>
      <c r="AP72" s="770"/>
      <c r="AQ72" s="770"/>
      <c r="AR72" s="770"/>
      <c r="AS72" s="770"/>
      <c r="AT72" s="770"/>
      <c r="AU72" s="770"/>
      <c r="AV72" s="770"/>
      <c r="AW72" s="770"/>
      <c r="AX72" s="770"/>
      <c r="AY72" s="770"/>
      <c r="AZ72" s="770"/>
    </row>
    <row r="73" spans="2:97" ht="15" customHeight="1" x14ac:dyDescent="0.3">
      <c r="B73" s="13"/>
      <c r="C73" s="304" t="s">
        <v>458</v>
      </c>
      <c r="D73" s="173"/>
      <c r="E73" s="765"/>
      <c r="F73" s="765"/>
      <c r="G73" s="765"/>
      <c r="H73" s="765"/>
      <c r="I73" s="765"/>
      <c r="J73" s="765"/>
      <c r="K73" s="765"/>
      <c r="L73" s="765"/>
      <c r="M73" s="765"/>
      <c r="N73" s="765"/>
      <c r="O73" s="765"/>
      <c r="P73" s="765"/>
      <c r="Q73" s="765"/>
      <c r="R73" s="61"/>
      <c r="S73" s="61"/>
      <c r="T73" s="61"/>
      <c r="U73" s="766"/>
      <c r="V73" s="767"/>
      <c r="W73" s="770"/>
      <c r="X73" s="770"/>
      <c r="Y73" s="770"/>
      <c r="Z73" s="770"/>
      <c r="AA73" s="770"/>
      <c r="AB73" s="770"/>
      <c r="AC73" s="770"/>
      <c r="AD73" s="770"/>
      <c r="AE73" s="770"/>
      <c r="AF73" s="770"/>
      <c r="AG73" s="770"/>
      <c r="AH73" s="770"/>
      <c r="AI73" s="770"/>
      <c r="AJ73" s="770"/>
      <c r="AK73" s="770"/>
      <c r="AL73" s="770"/>
      <c r="AM73" s="770"/>
      <c r="AN73" s="770"/>
      <c r="AO73" s="770"/>
      <c r="AP73" s="770"/>
      <c r="AQ73" s="770"/>
      <c r="AR73" s="770"/>
      <c r="AS73" s="770"/>
      <c r="AT73" s="770"/>
      <c r="AU73" s="770"/>
      <c r="AV73" s="770"/>
      <c r="AW73" s="770"/>
      <c r="AX73" s="770"/>
      <c r="AY73" s="770"/>
      <c r="AZ73" s="770"/>
    </row>
    <row r="74" spans="2:97" ht="15" customHeight="1" x14ac:dyDescent="0.3">
      <c r="B74" s="13"/>
      <c r="C74" s="63"/>
      <c r="D74" s="303" t="s">
        <v>449</v>
      </c>
      <c r="E74" s="768">
        <v>9.496616655667145E-3</v>
      </c>
      <c r="F74" s="768">
        <v>1.0186648933610364E-2</v>
      </c>
      <c r="G74" s="768">
        <v>1.0575437265327845E-2</v>
      </c>
      <c r="H74" s="768">
        <v>1.1075455337619868E-2</v>
      </c>
      <c r="I74" s="768">
        <v>1.1997990515543703E-2</v>
      </c>
      <c r="J74" s="768">
        <v>1.3398041117961374E-2</v>
      </c>
      <c r="K74" s="768">
        <v>1.4209296159744754E-2</v>
      </c>
      <c r="L74" s="768">
        <v>1.5086826042072208E-2</v>
      </c>
      <c r="M74" s="768">
        <v>1.5964355924399661E-2</v>
      </c>
      <c r="N74" s="768">
        <v>1.7475636267391872E-2</v>
      </c>
      <c r="O74" s="768">
        <v>2.1138291524321104E-2</v>
      </c>
      <c r="P74" s="768">
        <v>2.3858375161229316E-2</v>
      </c>
      <c r="Q74" s="768">
        <v>2.766598893264742E-2</v>
      </c>
      <c r="R74" s="769">
        <v>3.0496069207279673E-2</v>
      </c>
      <c r="S74" s="769">
        <v>3.2614898054586949E-2</v>
      </c>
      <c r="T74" s="769">
        <v>3.1392352033287899E-2</v>
      </c>
      <c r="U74" s="758">
        <v>2.8438481997982636E-2</v>
      </c>
      <c r="V74" s="763">
        <v>2.4352076532571092E-2</v>
      </c>
      <c r="W74" s="687">
        <v>2.1375754245033549E-2</v>
      </c>
      <c r="X74" s="687">
        <v>1.8899450029788031E-2</v>
      </c>
      <c r="Y74" s="687">
        <v>1.7013124082461393E-2</v>
      </c>
      <c r="Z74" s="687">
        <v>1.7679420609755896E-2</v>
      </c>
      <c r="AA74" s="687">
        <v>1.8245713522591991E-2</v>
      </c>
      <c r="AB74" s="687">
        <v>1.8245713522591991E-2</v>
      </c>
      <c r="AC74" s="687">
        <v>1.7901930486470898E-2</v>
      </c>
      <c r="AD74" s="687">
        <v>1.7723192802501776E-2</v>
      </c>
      <c r="AE74" s="687">
        <v>1.7813152998128631E-2</v>
      </c>
      <c r="AF74" s="687">
        <v>1.797943145313111E-2</v>
      </c>
      <c r="AG74" s="687">
        <v>1.8435677332677251E-2</v>
      </c>
      <c r="AH74" s="687">
        <v>1.9235706248344493E-2</v>
      </c>
      <c r="AI74" s="687">
        <v>2.1467048334642726E-2</v>
      </c>
      <c r="AJ74" s="687">
        <v>2.4642144748246581E-2</v>
      </c>
      <c r="AK74" s="687">
        <v>2.6405964433316619E-2</v>
      </c>
      <c r="AL74" s="687">
        <v>2.8114785799524637E-2</v>
      </c>
      <c r="AM74" s="687">
        <v>2.9379820515153154E-2</v>
      </c>
      <c r="AN74" s="687">
        <v>2.9336048322407268E-2</v>
      </c>
      <c r="AO74" s="687">
        <v>2.8238474769065828E-2</v>
      </c>
      <c r="AP74" s="687">
        <v>2.8517216067493353E-2</v>
      </c>
      <c r="AQ74" s="687">
        <v>2.866222497754814E-2</v>
      </c>
      <c r="AR74" s="687">
        <v>2.8640955432600451E-2</v>
      </c>
      <c r="AS74" s="687">
        <v>2.8307215815310902E-2</v>
      </c>
      <c r="AT74" s="687">
        <v>2.7773468969104549E-2</v>
      </c>
      <c r="AU74" s="687">
        <v>2.4463356668711543E-2</v>
      </c>
      <c r="AV74" s="687">
        <v>2.1375754245033549E-2</v>
      </c>
      <c r="AW74" s="687">
        <v>1.7666860589657434E-2</v>
      </c>
      <c r="AX74" s="687">
        <v>1.4425489335509509E-2</v>
      </c>
      <c r="AY74" s="687">
        <v>1.1627904731941087E-2</v>
      </c>
      <c r="AZ74" s="687">
        <v>1.0984161248010689E-2</v>
      </c>
      <c r="BF74" s="770"/>
      <c r="BG74" s="770"/>
      <c r="BH74" s="770"/>
      <c r="BI74" s="770"/>
      <c r="BJ74" s="770"/>
      <c r="BK74" s="770"/>
      <c r="BL74" s="770"/>
      <c r="BM74" s="770"/>
      <c r="BN74" s="770"/>
      <c r="BO74" s="770"/>
      <c r="BP74" s="770"/>
      <c r="BQ74" s="770"/>
      <c r="BR74" s="770"/>
      <c r="BS74" s="770"/>
      <c r="BT74" s="770"/>
      <c r="BU74" s="770"/>
      <c r="BV74" s="770"/>
      <c r="BW74" s="770"/>
      <c r="BX74" s="770"/>
      <c r="BY74" s="770"/>
      <c r="BZ74" s="770"/>
      <c r="CA74" s="770"/>
      <c r="CB74" s="770"/>
      <c r="CC74" s="770"/>
      <c r="CD74" s="770"/>
      <c r="CE74" s="770"/>
      <c r="CF74" s="770"/>
      <c r="CG74" s="770"/>
      <c r="CH74" s="770"/>
      <c r="CI74" s="770"/>
      <c r="CJ74" s="770"/>
      <c r="CK74" s="770"/>
      <c r="CL74" s="770"/>
      <c r="CM74" s="770"/>
      <c r="CN74" s="770"/>
      <c r="CO74" s="770"/>
      <c r="CP74" s="770"/>
      <c r="CQ74" s="770"/>
      <c r="CR74" s="770"/>
      <c r="CS74" s="770"/>
    </row>
    <row r="75" spans="2:97" ht="15" customHeight="1" x14ac:dyDescent="0.3">
      <c r="B75" s="13"/>
      <c r="C75" s="63"/>
      <c r="D75" s="303" t="s">
        <v>459</v>
      </c>
      <c r="E75" s="768">
        <v>1.161218380819015E-2</v>
      </c>
      <c r="F75" s="768">
        <v>1.2903396676800677E-2</v>
      </c>
      <c r="G75" s="768">
        <v>1.404960896774567E-2</v>
      </c>
      <c r="H75" s="768">
        <v>1.4270873026776213E-2</v>
      </c>
      <c r="I75" s="768">
        <v>1.5070855971803857E-2</v>
      </c>
      <c r="J75" s="768">
        <v>1.6404555093291529E-2</v>
      </c>
      <c r="K75" s="768">
        <v>1.7125808492964349E-2</v>
      </c>
      <c r="L75" s="768">
        <v>1.8014513432401125E-2</v>
      </c>
      <c r="M75" s="768">
        <v>1.9425709067248709E-2</v>
      </c>
      <c r="N75" s="768">
        <v>2.2658134651182129E-2</v>
      </c>
      <c r="O75" s="768">
        <v>2.4764383234949283E-2</v>
      </c>
      <c r="P75" s="768">
        <v>2.6048147518920255E-2</v>
      </c>
      <c r="Q75" s="768">
        <v>2.8185656874515345E-2</v>
      </c>
      <c r="R75" s="769">
        <v>2.8668205181463756E-2</v>
      </c>
      <c r="S75" s="769">
        <v>2.7773284689382342E-2</v>
      </c>
      <c r="T75" s="769">
        <v>2.6683300589023632E-2</v>
      </c>
      <c r="U75" s="758">
        <v>2.3150881400704846E-2</v>
      </c>
      <c r="V75" s="763">
        <v>2.1078359652755438E-2</v>
      </c>
      <c r="W75" s="687">
        <v>1.9938362914455096E-2</v>
      </c>
      <c r="X75" s="687">
        <v>1.8732095143844045E-2</v>
      </c>
      <c r="Y75" s="687">
        <v>1.8304541995487002E-2</v>
      </c>
      <c r="Z75" s="687">
        <v>2.1185677912428397E-2</v>
      </c>
      <c r="AA75" s="687">
        <v>2.1464403194040128E-2</v>
      </c>
      <c r="AB75" s="687">
        <v>2.1965625566677315E-2</v>
      </c>
      <c r="AC75" s="687">
        <v>2.3778045706033635E-2</v>
      </c>
      <c r="AD75" s="687">
        <v>2.2398110843013977E-2</v>
      </c>
      <c r="AE75" s="687">
        <v>2.1605704675720944E-2</v>
      </c>
      <c r="AF75" s="687">
        <v>2.0803255666703487E-2</v>
      </c>
      <c r="AG75" s="687">
        <v>1.9867081953739825E-2</v>
      </c>
      <c r="AH75" s="687">
        <v>1.7297215514903128E-2</v>
      </c>
      <c r="AI75" s="687">
        <v>1.9105936558274729E-2</v>
      </c>
      <c r="AJ75" s="687">
        <v>2.1247145009854529E-2</v>
      </c>
      <c r="AK75" s="687">
        <v>2.2499648521997571E-2</v>
      </c>
      <c r="AL75" s="687">
        <v>2.3819605705776098E-2</v>
      </c>
      <c r="AM75" s="687">
        <v>2.530583178999379E-2</v>
      </c>
      <c r="AN75" s="687">
        <v>2.5339558625811543E-2</v>
      </c>
      <c r="AO75" s="687">
        <v>2.4907073349474878E-2</v>
      </c>
      <c r="AP75" s="687">
        <v>2.4952076059011952E-2</v>
      </c>
      <c r="AQ75" s="687">
        <v>2.5274571018165853E-2</v>
      </c>
      <c r="AR75" s="687">
        <v>2.4997078768549029E-2</v>
      </c>
      <c r="AS75" s="687">
        <v>2.4942083609957647E-2</v>
      </c>
      <c r="AT75" s="687">
        <v>2.4308369565369164E-2</v>
      </c>
      <c r="AU75" s="687">
        <v>2.231211129878477E-2</v>
      </c>
      <c r="AV75" s="687">
        <v>1.9725908665154071E-2</v>
      </c>
      <c r="AW75" s="687">
        <v>1.6774674426822192E-2</v>
      </c>
      <c r="AX75" s="687">
        <v>1.4133476634600106E-2</v>
      </c>
      <c r="AY75" s="687">
        <v>1.2784674350313337E-2</v>
      </c>
      <c r="AZ75" s="687">
        <v>1.2342196624922369E-2</v>
      </c>
      <c r="BF75" s="770"/>
      <c r="BG75" s="770"/>
      <c r="BH75" s="770"/>
      <c r="BI75" s="770"/>
      <c r="BJ75" s="770"/>
      <c r="BK75" s="770"/>
      <c r="BL75" s="770"/>
      <c r="BM75" s="770"/>
      <c r="BN75" s="770"/>
      <c r="BO75" s="770"/>
      <c r="BP75" s="770"/>
      <c r="BQ75" s="770"/>
      <c r="BR75" s="770"/>
      <c r="BS75" s="770"/>
      <c r="BT75" s="770"/>
      <c r="BU75" s="770"/>
      <c r="BV75" s="770"/>
      <c r="BW75" s="770"/>
      <c r="BX75" s="770"/>
      <c r="BY75" s="770"/>
      <c r="BZ75" s="770"/>
      <c r="CA75" s="770"/>
      <c r="CB75" s="770"/>
      <c r="CC75" s="770"/>
      <c r="CD75" s="770"/>
      <c r="CE75" s="770"/>
      <c r="CF75" s="770"/>
      <c r="CG75" s="770"/>
      <c r="CH75" s="770"/>
      <c r="CI75" s="770"/>
      <c r="CJ75" s="770"/>
      <c r="CK75" s="770"/>
      <c r="CL75" s="770"/>
      <c r="CM75" s="770"/>
      <c r="CN75" s="770"/>
      <c r="CO75" s="770"/>
      <c r="CP75" s="770"/>
      <c r="CQ75" s="770"/>
      <c r="CR75" s="770"/>
      <c r="CS75" s="770"/>
    </row>
    <row r="76" spans="2:97" ht="15" customHeight="1" x14ac:dyDescent="0.3">
      <c r="B76" s="13"/>
      <c r="C76" s="63"/>
      <c r="D76" s="303" t="s">
        <v>460</v>
      </c>
      <c r="E76" s="768">
        <v>1.2889598838681545E-2</v>
      </c>
      <c r="F76" s="768">
        <v>1.4024472163664235E-2</v>
      </c>
      <c r="G76" s="768">
        <v>1.4904329702163502E-2</v>
      </c>
      <c r="H76" s="768">
        <v>1.4848107133714202E-2</v>
      </c>
      <c r="I76" s="768">
        <v>1.5548022220596834E-2</v>
      </c>
      <c r="J76" s="768">
        <v>1.6825365419901418E-2</v>
      </c>
      <c r="K76" s="768">
        <v>1.7480282296972023E-2</v>
      </c>
      <c r="L76" s="768">
        <v>1.8335174913151949E-2</v>
      </c>
      <c r="M76" s="768">
        <v>1.9646241575999829E-2</v>
      </c>
      <c r="N76" s="768">
        <v>2.2955832721234266E-2</v>
      </c>
      <c r="O76" s="768">
        <v>2.4661919227474131E-2</v>
      </c>
      <c r="P76" s="768">
        <v>2.5901789849483971E-2</v>
      </c>
      <c r="Q76" s="768">
        <v>2.848280225939645E-2</v>
      </c>
      <c r="R76" s="769">
        <v>2.789915921580971E-2</v>
      </c>
      <c r="S76" s="769">
        <v>2.6225691444683771E-2</v>
      </c>
      <c r="T76" s="769">
        <v>2.4145979471528568E-2</v>
      </c>
      <c r="U76" s="758">
        <v>2.0047709728494113E-2</v>
      </c>
      <c r="V76" s="763">
        <v>1.9785218697124868E-2</v>
      </c>
      <c r="W76" s="687">
        <v>2.0835027237310164E-2</v>
      </c>
      <c r="X76" s="687">
        <v>2.1129931030870189E-2</v>
      </c>
      <c r="Y76" s="687">
        <v>2.2802165893289466E-2</v>
      </c>
      <c r="Z76" s="687">
        <v>2.696158983959988E-2</v>
      </c>
      <c r="AA76" s="687">
        <v>2.5964176961466592E-2</v>
      </c>
      <c r="AB76" s="687">
        <v>2.654283798259521E-2</v>
      </c>
      <c r="AC76" s="687">
        <v>2.9608688087614968E-2</v>
      </c>
      <c r="AD76" s="687">
        <v>2.7772717154674449E-2</v>
      </c>
      <c r="AE76" s="687">
        <v>2.5614283508163929E-2</v>
      </c>
      <c r="AF76" s="687">
        <v>2.3222150659000799E-2</v>
      </c>
      <c r="AG76" s="687">
        <v>2.0541278559810961E-2</v>
      </c>
      <c r="AH76" s="687">
        <v>1.5262005148538052E-2</v>
      </c>
      <c r="AI76" s="687">
        <v>1.6004402240187916E-2</v>
      </c>
      <c r="AJ76" s="687">
        <v>1.7434257151376469E-2</v>
      </c>
      <c r="AK76" s="687">
        <v>1.832040741368636E-2</v>
      </c>
      <c r="AL76" s="687">
        <v>1.9406533415105575E-2</v>
      </c>
      <c r="AM76" s="687">
        <v>2.0770123920282751E-2</v>
      </c>
      <c r="AN76" s="687">
        <v>2.1203798862044685E-2</v>
      </c>
      <c r="AO76" s="687">
        <v>2.2003701818481977E-2</v>
      </c>
      <c r="AP76" s="687">
        <v>2.2726116010270615E-2</v>
      </c>
      <c r="AQ76" s="687">
        <v>2.3859706038915185E-2</v>
      </c>
      <c r="AR76" s="687">
        <v>2.2993589064097979E-2</v>
      </c>
      <c r="AS76" s="687">
        <v>2.2016209473457379E-2</v>
      </c>
      <c r="AT76" s="687">
        <v>2.0106448501988203E-2</v>
      </c>
      <c r="AU76" s="687">
        <v>2.0253900398768215E-2</v>
      </c>
      <c r="AV76" s="687">
        <v>1.8325339048513016E-2</v>
      </c>
      <c r="AW76" s="687">
        <v>1.7074193680234433E-2</v>
      </c>
      <c r="AX76" s="687">
        <v>1.608928845707655E-2</v>
      </c>
      <c r="AY76" s="687">
        <v>1.6305470577281263E-2</v>
      </c>
      <c r="AZ76" s="687">
        <v>1.4241964985221452E-2</v>
      </c>
      <c r="BF76" s="770"/>
      <c r="BG76" s="770"/>
      <c r="BH76" s="770"/>
      <c r="BI76" s="770"/>
      <c r="BJ76" s="770"/>
      <c r="BK76" s="770"/>
      <c r="BL76" s="770"/>
      <c r="BM76" s="770"/>
      <c r="BN76" s="770"/>
      <c r="BO76" s="770"/>
      <c r="BP76" s="770"/>
      <c r="BQ76" s="770"/>
      <c r="BR76" s="770"/>
      <c r="BS76" s="770"/>
      <c r="BT76" s="770"/>
      <c r="BU76" s="770"/>
      <c r="BV76" s="770"/>
      <c r="BW76" s="770"/>
      <c r="BX76" s="770"/>
      <c r="BY76" s="770"/>
      <c r="BZ76" s="770"/>
      <c r="CA76" s="770"/>
      <c r="CB76" s="770"/>
      <c r="CC76" s="770"/>
      <c r="CD76" s="770"/>
      <c r="CE76" s="770"/>
      <c r="CF76" s="770"/>
      <c r="CG76" s="770"/>
      <c r="CH76" s="770"/>
      <c r="CI76" s="770"/>
      <c r="CJ76" s="770"/>
      <c r="CK76" s="770"/>
      <c r="CL76" s="770"/>
      <c r="CM76" s="770"/>
      <c r="CN76" s="770"/>
      <c r="CO76" s="770"/>
      <c r="CP76" s="770"/>
      <c r="CQ76" s="770"/>
      <c r="CR76" s="770"/>
      <c r="CS76" s="770"/>
    </row>
    <row r="77" spans="2:97" ht="15" customHeight="1" x14ac:dyDescent="0.3">
      <c r="B77" s="13"/>
      <c r="C77" s="63"/>
      <c r="D77" s="303" t="s">
        <v>451</v>
      </c>
      <c r="E77" s="1062" t="s">
        <v>461</v>
      </c>
      <c r="F77" s="1062"/>
      <c r="G77" s="1062"/>
      <c r="H77" s="1062"/>
      <c r="I77" s="1062"/>
      <c r="J77" s="1062"/>
      <c r="K77" s="1062"/>
      <c r="L77" s="1062"/>
      <c r="M77" s="1062"/>
      <c r="N77" s="1062"/>
      <c r="O77" s="1062"/>
      <c r="P77" s="1062"/>
      <c r="Q77" s="1062"/>
      <c r="R77" s="1062"/>
      <c r="S77" s="1062"/>
      <c r="T77" s="1062"/>
      <c r="U77" s="1062"/>
      <c r="V77" s="1062"/>
      <c r="W77" s="1062"/>
      <c r="X77" s="1062"/>
      <c r="Y77" s="1062"/>
      <c r="Z77" s="1062"/>
      <c r="AA77" s="1062"/>
      <c r="AB77" s="1062"/>
      <c r="AC77" s="1062"/>
      <c r="AD77" s="1062"/>
      <c r="AE77" s="1062"/>
      <c r="AF77" s="1062"/>
      <c r="AG77" s="1062"/>
      <c r="AH77" s="1062"/>
      <c r="AI77" s="1062"/>
      <c r="AJ77" s="1062"/>
      <c r="AK77" s="1062"/>
      <c r="AL77" s="1062"/>
      <c r="AM77" s="1062"/>
      <c r="AN77" s="1062"/>
      <c r="AO77" s="1062"/>
      <c r="AP77" s="1062"/>
      <c r="AQ77" s="1062"/>
      <c r="AR77" s="1062"/>
      <c r="AS77" s="1062"/>
      <c r="AT77" s="1062"/>
      <c r="AU77" s="1062"/>
      <c r="AV77" s="1062"/>
      <c r="AW77" s="1062"/>
      <c r="AX77" s="1062"/>
      <c r="AY77" s="1062"/>
      <c r="AZ77" s="1062"/>
    </row>
    <row r="78" spans="2:97" ht="15" customHeight="1" x14ac:dyDescent="0.3">
      <c r="C78" s="63"/>
      <c r="D78" s="303"/>
      <c r="E78" s="765"/>
      <c r="F78" s="765"/>
      <c r="G78" s="765"/>
      <c r="H78" s="765"/>
      <c r="I78" s="765"/>
      <c r="J78" s="765"/>
      <c r="K78" s="765"/>
      <c r="L78" s="765"/>
      <c r="M78" s="765"/>
      <c r="N78" s="765"/>
      <c r="O78" s="765"/>
      <c r="P78" s="765"/>
      <c r="Q78" s="765"/>
      <c r="R78" s="61"/>
      <c r="S78" s="61"/>
      <c r="T78" s="61"/>
      <c r="U78" s="766"/>
      <c r="V78" s="767"/>
      <c r="W78" s="770"/>
      <c r="X78" s="770"/>
      <c r="Y78" s="770"/>
      <c r="Z78" s="770"/>
      <c r="AA78" s="770"/>
      <c r="AB78" s="770"/>
      <c r="AC78" s="770"/>
      <c r="AD78" s="770"/>
      <c r="AE78" s="770"/>
      <c r="AF78" s="770"/>
      <c r="AG78" s="770"/>
      <c r="AH78" s="770"/>
      <c r="AI78" s="770"/>
      <c r="AJ78" s="770"/>
      <c r="AK78" s="770"/>
      <c r="AL78" s="770"/>
      <c r="AM78" s="770"/>
      <c r="AN78" s="770"/>
      <c r="AO78" s="770"/>
      <c r="AP78" s="770"/>
      <c r="AQ78" s="770"/>
      <c r="AR78" s="770"/>
      <c r="AS78" s="770"/>
      <c r="AT78" s="770"/>
      <c r="AU78" s="770"/>
      <c r="AV78" s="770"/>
      <c r="AW78" s="770"/>
      <c r="AX78" s="770"/>
      <c r="AY78" s="770"/>
      <c r="AZ78" s="770"/>
    </row>
    <row r="79" spans="2:97" ht="15" customHeight="1" x14ac:dyDescent="0.3">
      <c r="B79" s="35"/>
      <c r="C79" s="130"/>
      <c r="D79" s="130"/>
      <c r="E79" s="764"/>
      <c r="F79" s="764"/>
      <c r="G79" s="764"/>
      <c r="H79" s="764"/>
      <c r="I79" s="764"/>
      <c r="J79" s="764"/>
      <c r="K79" s="764"/>
      <c r="L79" s="764"/>
      <c r="M79" s="764"/>
      <c r="N79" s="764"/>
      <c r="O79" s="764"/>
      <c r="P79" s="764"/>
      <c r="Q79" s="764"/>
      <c r="R79" s="764"/>
      <c r="S79" s="764"/>
      <c r="T79" s="764"/>
      <c r="U79" s="764"/>
      <c r="V79" s="764"/>
      <c r="W79" s="764"/>
      <c r="X79" s="764"/>
      <c r="Y79" s="764"/>
      <c r="Z79" s="764"/>
      <c r="AA79" s="764"/>
      <c r="AB79" s="764"/>
      <c r="AC79" s="764"/>
      <c r="AD79" s="764"/>
      <c r="AE79" s="764"/>
      <c r="AF79" s="764"/>
      <c r="AG79" s="764"/>
      <c r="AH79" s="764"/>
      <c r="AI79" s="764"/>
      <c r="AJ79" s="764"/>
      <c r="AK79" s="764"/>
      <c r="AL79" s="764"/>
      <c r="AM79" s="764"/>
      <c r="AN79" s="764"/>
      <c r="AO79" s="764"/>
      <c r="AP79" s="764"/>
      <c r="AQ79" s="764"/>
      <c r="AR79" s="764"/>
      <c r="AS79" s="764"/>
      <c r="AT79" s="764"/>
      <c r="AU79" s="764"/>
    </row>
    <row r="80" spans="2:97" ht="15" customHeight="1" x14ac:dyDescent="0.3">
      <c r="B80" s="35"/>
      <c r="C80" s="304"/>
      <c r="D80" s="173"/>
      <c r="E80" s="764"/>
      <c r="F80" s="764"/>
      <c r="G80" s="764"/>
      <c r="H80" s="764"/>
      <c r="I80" s="764"/>
      <c r="J80" s="764"/>
      <c r="K80" s="764"/>
      <c r="L80" s="764"/>
      <c r="M80" s="764"/>
      <c r="N80" s="764"/>
      <c r="O80" s="764"/>
      <c r="P80" s="764"/>
      <c r="Q80" s="764"/>
      <c r="R80" s="764"/>
      <c r="S80" s="764"/>
      <c r="T80" s="764"/>
      <c r="U80" s="764"/>
      <c r="V80" s="764"/>
      <c r="W80" s="764"/>
      <c r="X80" s="764"/>
      <c r="Y80" s="764"/>
      <c r="Z80" s="764"/>
      <c r="AA80" s="764"/>
      <c r="AB80" s="764"/>
      <c r="AC80" s="764"/>
      <c r="AD80" s="764"/>
      <c r="AE80" s="764"/>
      <c r="AF80" s="764"/>
      <c r="AG80" s="764"/>
      <c r="AH80" s="764"/>
      <c r="AI80" s="764"/>
      <c r="AJ80" s="764"/>
      <c r="AK80" s="764"/>
      <c r="AL80" s="764"/>
      <c r="AM80" s="764"/>
      <c r="AN80" s="764"/>
      <c r="AO80" s="764"/>
      <c r="AP80" s="764"/>
      <c r="AQ80" s="764"/>
      <c r="AR80" s="764"/>
      <c r="AS80" s="764"/>
      <c r="AT80" s="764"/>
      <c r="AU80" s="764"/>
    </row>
    <row r="81" spans="2:52" ht="15" customHeight="1" x14ac:dyDescent="0.3">
      <c r="B81" s="175"/>
      <c r="C81" s="63"/>
      <c r="D81" s="303"/>
      <c r="E81" s="688"/>
      <c r="F81" s="688"/>
      <c r="G81" s="688"/>
      <c r="H81" s="688"/>
      <c r="I81" s="688"/>
      <c r="J81" s="688"/>
      <c r="K81" s="688"/>
      <c r="L81" s="688"/>
      <c r="M81" s="688"/>
      <c r="N81" s="688"/>
      <c r="O81" s="688"/>
      <c r="P81" s="688"/>
      <c r="Q81" s="688"/>
      <c r="R81" s="688"/>
      <c r="S81" s="688"/>
      <c r="T81" s="688"/>
      <c r="U81" s="688"/>
      <c r="V81" s="688"/>
      <c r="W81" s="688"/>
      <c r="X81" s="688"/>
      <c r="Y81" s="688"/>
      <c r="Z81" s="688"/>
      <c r="AA81" s="688"/>
      <c r="AB81" s="688"/>
      <c r="AC81" s="688"/>
      <c r="AD81" s="688"/>
      <c r="AE81" s="688"/>
      <c r="AF81" s="688"/>
      <c r="AG81" s="688"/>
      <c r="AH81" s="688"/>
      <c r="AI81" s="688"/>
      <c r="AJ81" s="688"/>
      <c r="AK81" s="688"/>
      <c r="AL81" s="688"/>
      <c r="AM81" s="688"/>
      <c r="AN81" s="688"/>
      <c r="AO81" s="688"/>
      <c r="AP81" s="688"/>
      <c r="AQ81" s="688"/>
      <c r="AR81" s="688"/>
      <c r="AS81" s="688"/>
      <c r="AT81" s="688"/>
      <c r="AU81" s="688"/>
      <c r="AV81" s="688"/>
      <c r="AW81" s="688"/>
      <c r="AX81" s="688"/>
      <c r="AY81" s="688"/>
      <c r="AZ81" s="688"/>
    </row>
    <row r="82" spans="2:52" ht="15" customHeight="1" x14ac:dyDescent="0.3">
      <c r="C82" s="63"/>
      <c r="D82" s="303"/>
      <c r="E82" s="769"/>
      <c r="F82" s="769"/>
      <c r="G82" s="769"/>
      <c r="H82" s="769"/>
      <c r="I82" s="769"/>
      <c r="J82" s="769"/>
      <c r="K82" s="769"/>
      <c r="L82" s="769"/>
      <c r="M82" s="769"/>
      <c r="N82" s="769"/>
      <c r="O82" s="769"/>
      <c r="P82" s="769"/>
      <c r="Q82" s="771"/>
      <c r="R82" s="771"/>
      <c r="S82" s="771"/>
      <c r="T82" s="769"/>
      <c r="U82" s="769"/>
      <c r="V82" s="848"/>
      <c r="W82" s="848"/>
      <c r="X82" s="848"/>
      <c r="Y82" s="848"/>
      <c r="Z82" s="848"/>
      <c r="AA82" s="848"/>
      <c r="AB82" s="848"/>
      <c r="AC82" s="848"/>
      <c r="AD82" s="848"/>
      <c r="AE82" s="848"/>
      <c r="AF82" s="848"/>
      <c r="AG82" s="848"/>
      <c r="AH82" s="848"/>
      <c r="AI82" s="848"/>
      <c r="AJ82" s="848"/>
      <c r="AK82" s="848"/>
      <c r="AL82" s="848"/>
      <c r="AM82" s="848"/>
      <c r="AN82" s="848"/>
      <c r="AO82" s="848"/>
      <c r="AP82" s="848"/>
      <c r="AQ82" s="848"/>
      <c r="AR82" s="848"/>
      <c r="AS82" s="848"/>
      <c r="AT82" s="848"/>
      <c r="AU82" s="848"/>
      <c r="AV82" s="848"/>
      <c r="AW82" s="848"/>
      <c r="AX82" s="848"/>
      <c r="AY82" s="848"/>
      <c r="AZ82" s="848"/>
    </row>
    <row r="83" spans="2:52" ht="15" customHeight="1" x14ac:dyDescent="0.3">
      <c r="B83" s="33"/>
      <c r="C83" s="63"/>
      <c r="D83" s="303"/>
      <c r="E83" s="1049"/>
      <c r="F83" s="1049"/>
      <c r="G83" s="1049"/>
      <c r="H83" s="1049"/>
      <c r="I83" s="1049"/>
      <c r="J83" s="1049"/>
      <c r="K83" s="1049"/>
      <c r="L83" s="1049"/>
      <c r="M83" s="1049"/>
      <c r="N83" s="1049"/>
      <c r="O83" s="1049"/>
      <c r="P83" s="1049"/>
      <c r="Q83" s="1049"/>
      <c r="R83" s="1049"/>
      <c r="S83" s="1049"/>
      <c r="T83" s="1049"/>
      <c r="U83" s="1049"/>
      <c r="V83" s="1049"/>
      <c r="W83" s="1049"/>
      <c r="X83" s="1049"/>
      <c r="Y83" s="1049"/>
      <c r="Z83" s="1049"/>
      <c r="AA83" s="1049"/>
      <c r="AB83" s="1049"/>
      <c r="AC83" s="1049"/>
      <c r="AD83" s="1049"/>
      <c r="AE83" s="1049"/>
      <c r="AF83" s="1049"/>
      <c r="AG83" s="1049"/>
      <c r="AH83" s="1049"/>
      <c r="AI83" s="1049"/>
      <c r="AJ83" s="1049"/>
      <c r="AK83" s="1049"/>
      <c r="AL83" s="1049"/>
      <c r="AM83" s="1049"/>
      <c r="AN83" s="1049"/>
      <c r="AO83" s="1049"/>
      <c r="AP83" s="1049"/>
      <c r="AQ83" s="1049"/>
      <c r="AR83" s="1049"/>
      <c r="AS83" s="1049"/>
      <c r="AT83" s="1049"/>
      <c r="AU83" s="1049"/>
      <c r="AV83" s="1049"/>
      <c r="AW83" s="1049"/>
      <c r="AX83" s="1049"/>
      <c r="AY83" s="1049"/>
      <c r="AZ83" s="1049"/>
    </row>
    <row r="84" spans="2:52" ht="15" customHeight="1" x14ac:dyDescent="0.3">
      <c r="B84" s="33"/>
    </row>
    <row r="85" spans="2:52" ht="15" customHeight="1" x14ac:dyDescent="0.3">
      <c r="B85" s="33"/>
    </row>
    <row r="86" spans="2:52" ht="15" customHeight="1" x14ac:dyDescent="0.3">
      <c r="B86" s="33"/>
      <c r="C86" s="172"/>
    </row>
    <row r="87" spans="2:52" ht="15" customHeight="1" x14ac:dyDescent="0.3">
      <c r="B87" s="33"/>
      <c r="C87" s="172"/>
      <c r="D87" s="303"/>
      <c r="E87" s="849"/>
      <c r="F87" s="849"/>
      <c r="G87" s="849"/>
      <c r="H87" s="849"/>
      <c r="I87" s="849"/>
      <c r="J87" s="849"/>
      <c r="K87" s="849"/>
      <c r="L87" s="849"/>
      <c r="M87" s="849"/>
      <c r="N87" s="849"/>
      <c r="O87" s="849"/>
      <c r="P87" s="849"/>
      <c r="Q87" s="849"/>
      <c r="R87" s="849"/>
      <c r="S87" s="849"/>
      <c r="T87" s="849"/>
      <c r="U87" s="849"/>
      <c r="V87" s="849"/>
      <c r="W87" s="849"/>
      <c r="X87" s="849"/>
      <c r="Y87" s="849"/>
      <c r="Z87" s="849"/>
      <c r="AA87" s="849"/>
      <c r="AB87" s="849"/>
      <c r="AC87" s="849"/>
      <c r="AD87" s="849"/>
      <c r="AE87" s="849"/>
      <c r="AF87" s="849"/>
      <c r="AG87" s="849"/>
      <c r="AH87" s="849"/>
      <c r="AI87" s="849"/>
      <c r="AJ87" s="849"/>
      <c r="AK87" s="849"/>
      <c r="AL87" s="849"/>
      <c r="AM87" s="849"/>
      <c r="AN87" s="849"/>
      <c r="AO87" s="849"/>
      <c r="AP87" s="849"/>
      <c r="AQ87" s="849"/>
      <c r="AR87" s="849"/>
      <c r="AS87" s="849"/>
      <c r="AT87" s="849"/>
      <c r="AU87" s="849"/>
      <c r="AV87" s="849"/>
      <c r="AW87" s="849"/>
      <c r="AX87" s="849"/>
      <c r="AY87" s="849"/>
      <c r="AZ87" s="849"/>
    </row>
    <row r="88" spans="2:52" ht="15" customHeight="1" x14ac:dyDescent="0.3">
      <c r="B88" s="33"/>
      <c r="C88" s="172"/>
      <c r="D88" s="303"/>
      <c r="E88" s="849"/>
      <c r="F88" s="849"/>
      <c r="G88" s="849"/>
      <c r="H88" s="849"/>
      <c r="I88" s="849"/>
      <c r="J88" s="849"/>
      <c r="K88" s="849"/>
      <c r="L88" s="849"/>
      <c r="M88" s="849"/>
      <c r="N88" s="849"/>
      <c r="O88" s="849"/>
      <c r="P88" s="849"/>
      <c r="Q88" s="849"/>
      <c r="R88" s="849"/>
      <c r="S88" s="849"/>
      <c r="T88" s="849"/>
      <c r="U88" s="849"/>
      <c r="V88" s="849"/>
      <c r="W88" s="849"/>
      <c r="X88" s="849"/>
      <c r="Y88" s="849"/>
      <c r="Z88" s="849"/>
      <c r="AA88" s="849"/>
      <c r="AB88" s="849"/>
      <c r="AC88" s="849"/>
      <c r="AD88" s="849"/>
      <c r="AE88" s="849"/>
      <c r="AF88" s="849"/>
      <c r="AG88" s="849"/>
      <c r="AH88" s="849"/>
      <c r="AI88" s="849"/>
      <c r="AJ88" s="849"/>
      <c r="AK88" s="849"/>
      <c r="AL88" s="849"/>
      <c r="AM88" s="849"/>
      <c r="AN88" s="849"/>
      <c r="AO88" s="849"/>
      <c r="AP88" s="849"/>
      <c r="AQ88" s="849"/>
      <c r="AR88" s="849"/>
      <c r="AS88" s="849"/>
      <c r="AT88" s="849"/>
      <c r="AU88" s="849"/>
      <c r="AV88" s="849"/>
      <c r="AW88" s="849"/>
      <c r="AX88" s="849"/>
      <c r="AY88" s="849"/>
      <c r="AZ88" s="849"/>
    </row>
    <row r="89" spans="2:52" ht="15" customHeight="1" x14ac:dyDescent="0.3">
      <c r="B89" s="33"/>
      <c r="C89" s="172"/>
      <c r="D89" s="303"/>
      <c r="E89" s="1049"/>
      <c r="F89" s="1049"/>
      <c r="G89" s="1049"/>
      <c r="H89" s="1049"/>
      <c r="I89" s="1049"/>
      <c r="J89" s="1049"/>
      <c r="K89" s="1049"/>
      <c r="L89" s="1049"/>
      <c r="M89" s="1049"/>
      <c r="N89" s="1049"/>
      <c r="O89" s="1049"/>
      <c r="P89" s="1049"/>
      <c r="Q89" s="1049"/>
      <c r="R89" s="1049"/>
      <c r="S89" s="1049"/>
      <c r="T89" s="1049"/>
      <c r="U89" s="1049"/>
      <c r="V89" s="1049"/>
      <c r="W89" s="1049"/>
      <c r="X89" s="1049"/>
      <c r="Y89" s="1049"/>
      <c r="Z89" s="1049"/>
      <c r="AA89" s="1049"/>
      <c r="AB89" s="1049"/>
      <c r="AC89" s="1049"/>
      <c r="AD89" s="1049"/>
      <c r="AE89" s="1049"/>
      <c r="AF89" s="1049"/>
      <c r="AG89" s="1049"/>
      <c r="AH89" s="1049"/>
      <c r="AI89" s="1049"/>
      <c r="AJ89" s="1049"/>
      <c r="AK89" s="1049"/>
      <c r="AL89" s="1049"/>
      <c r="AM89" s="1049"/>
      <c r="AN89" s="1049"/>
      <c r="AO89" s="1049"/>
      <c r="AP89" s="1049"/>
      <c r="AQ89" s="1049"/>
      <c r="AR89" s="1049"/>
      <c r="AS89" s="1049"/>
      <c r="AT89" s="1049"/>
      <c r="AU89" s="1049"/>
      <c r="AV89" s="1049"/>
      <c r="AW89" s="1049"/>
      <c r="AX89" s="1049"/>
      <c r="AY89" s="1049"/>
      <c r="AZ89" s="1049"/>
    </row>
    <row r="90" spans="2:52" ht="15" customHeight="1" x14ac:dyDescent="0.3">
      <c r="B90" s="33"/>
      <c r="C90" s="172"/>
      <c r="D90" s="303"/>
      <c r="E90" s="850"/>
      <c r="F90" s="850"/>
      <c r="G90" s="850"/>
      <c r="H90" s="850"/>
      <c r="I90" s="850"/>
      <c r="J90" s="850"/>
      <c r="K90" s="850"/>
      <c r="L90" s="850"/>
      <c r="M90" s="850"/>
      <c r="N90" s="850"/>
      <c r="O90" s="850"/>
      <c r="P90" s="850"/>
      <c r="Q90" s="850"/>
      <c r="R90" s="850"/>
      <c r="S90" s="850"/>
      <c r="T90" s="850"/>
      <c r="U90" s="850"/>
      <c r="V90" s="850"/>
      <c r="W90" s="850"/>
      <c r="X90" s="850"/>
      <c r="Y90" s="850"/>
      <c r="Z90" s="850"/>
      <c r="AA90" s="850"/>
      <c r="AB90" s="850"/>
      <c r="AC90" s="850"/>
      <c r="AD90" s="850"/>
      <c r="AE90" s="850"/>
      <c r="AF90" s="850"/>
      <c r="AG90" s="850"/>
      <c r="AH90" s="850"/>
      <c r="AI90" s="850"/>
      <c r="AJ90" s="850"/>
      <c r="AK90" s="850"/>
      <c r="AL90" s="850"/>
      <c r="AM90" s="850"/>
      <c r="AN90" s="850"/>
      <c r="AO90" s="850"/>
      <c r="AP90" s="850"/>
      <c r="AQ90" s="850"/>
      <c r="AR90" s="850"/>
      <c r="AS90" s="850"/>
      <c r="AT90" s="850"/>
      <c r="AU90" s="850"/>
      <c r="AV90" s="850"/>
      <c r="AW90" s="850"/>
      <c r="AX90" s="850"/>
      <c r="AY90" s="850"/>
      <c r="AZ90" s="850"/>
    </row>
    <row r="91" spans="2:52" ht="15" customHeight="1" x14ac:dyDescent="0.3">
      <c r="B91" s="33"/>
      <c r="C91" s="172"/>
      <c r="D91" s="303"/>
      <c r="E91" s="850"/>
      <c r="F91" s="850"/>
      <c r="G91" s="850"/>
      <c r="H91" s="850"/>
      <c r="I91" s="850"/>
      <c r="J91" s="850"/>
      <c r="K91" s="850"/>
      <c r="L91" s="850"/>
      <c r="M91" s="850"/>
      <c r="N91" s="850"/>
      <c r="O91" s="850"/>
      <c r="P91" s="850"/>
      <c r="Q91" s="850"/>
      <c r="R91" s="850"/>
      <c r="S91" s="850"/>
      <c r="T91" s="850"/>
      <c r="U91" s="850"/>
      <c r="V91" s="850"/>
      <c r="W91" s="850"/>
      <c r="X91" s="850"/>
      <c r="Y91" s="850"/>
      <c r="Z91" s="850"/>
      <c r="AA91" s="850"/>
      <c r="AB91" s="850"/>
      <c r="AC91" s="850"/>
      <c r="AD91" s="850"/>
      <c r="AE91" s="850"/>
      <c r="AF91" s="850"/>
      <c r="AG91" s="850"/>
      <c r="AH91" s="850"/>
      <c r="AI91" s="850"/>
      <c r="AJ91" s="850"/>
      <c r="AK91" s="850"/>
      <c r="AL91" s="850"/>
      <c r="AM91" s="850"/>
      <c r="AN91" s="850"/>
      <c r="AO91" s="850"/>
      <c r="AP91" s="850"/>
      <c r="AQ91" s="850"/>
      <c r="AR91" s="850"/>
      <c r="AS91" s="850"/>
      <c r="AT91" s="850"/>
      <c r="AU91" s="850"/>
      <c r="AV91" s="850"/>
      <c r="AW91" s="850"/>
      <c r="AX91" s="850"/>
      <c r="AY91" s="850"/>
      <c r="AZ91" s="850"/>
    </row>
    <row r="92" spans="2:52" ht="15" customHeight="1" x14ac:dyDescent="0.3">
      <c r="B92" s="33"/>
      <c r="C92" s="172"/>
      <c r="D92" s="303"/>
      <c r="E92" s="850"/>
      <c r="F92" s="850"/>
      <c r="G92" s="850"/>
      <c r="H92" s="850"/>
      <c r="I92" s="850"/>
      <c r="J92" s="850"/>
      <c r="K92" s="850"/>
      <c r="L92" s="850"/>
      <c r="M92" s="850"/>
      <c r="N92" s="850"/>
      <c r="O92" s="850"/>
      <c r="P92" s="850"/>
      <c r="Q92" s="850"/>
      <c r="R92" s="850"/>
      <c r="S92" s="850"/>
      <c r="T92" s="850"/>
      <c r="U92" s="850"/>
      <c r="V92" s="850"/>
      <c r="W92" s="850"/>
      <c r="X92" s="850"/>
      <c r="Y92" s="850"/>
      <c r="Z92" s="850"/>
      <c r="AA92" s="850"/>
      <c r="AB92" s="850"/>
      <c r="AC92" s="850"/>
      <c r="AD92" s="850"/>
      <c r="AE92" s="850"/>
      <c r="AF92" s="850"/>
      <c r="AG92" s="850"/>
      <c r="AH92" s="850"/>
      <c r="AI92" s="850"/>
      <c r="AJ92" s="850"/>
      <c r="AK92" s="850"/>
      <c r="AL92" s="850"/>
      <c r="AM92" s="850"/>
      <c r="AN92" s="850"/>
      <c r="AO92" s="850"/>
      <c r="AP92" s="850"/>
      <c r="AQ92" s="850"/>
      <c r="AR92" s="850"/>
      <c r="AS92" s="850"/>
      <c r="AT92" s="850"/>
      <c r="AU92" s="850"/>
      <c r="AV92" s="850"/>
      <c r="AW92" s="850"/>
      <c r="AX92" s="850"/>
      <c r="AY92" s="850"/>
      <c r="AZ92" s="850"/>
    </row>
    <row r="93" spans="2:52" ht="15" customHeight="1" x14ac:dyDescent="0.3">
      <c r="B93" s="33"/>
      <c r="C93" s="172"/>
      <c r="D93" s="303"/>
      <c r="E93" s="850"/>
      <c r="F93" s="850"/>
      <c r="G93" s="850"/>
      <c r="H93" s="850"/>
      <c r="I93" s="850"/>
      <c r="J93" s="850"/>
      <c r="K93" s="850"/>
      <c r="L93" s="850"/>
      <c r="M93" s="850"/>
      <c r="N93" s="850"/>
      <c r="O93" s="850"/>
      <c r="P93" s="850"/>
      <c r="Q93" s="850"/>
      <c r="R93" s="850"/>
      <c r="S93" s="850"/>
      <c r="T93" s="850"/>
      <c r="U93" s="850"/>
      <c r="V93" s="850"/>
      <c r="W93" s="850"/>
      <c r="X93" s="850"/>
      <c r="Y93" s="850"/>
      <c r="Z93" s="850"/>
      <c r="AA93" s="850"/>
      <c r="AB93" s="850"/>
      <c r="AC93" s="850"/>
      <c r="AD93" s="850"/>
      <c r="AE93" s="850"/>
      <c r="AF93" s="850"/>
      <c r="AG93" s="850"/>
      <c r="AH93" s="850"/>
      <c r="AI93" s="850"/>
      <c r="AJ93" s="850"/>
      <c r="AK93" s="850"/>
      <c r="AL93" s="850"/>
      <c r="AM93" s="850"/>
      <c r="AN93" s="850"/>
      <c r="AO93" s="850"/>
      <c r="AP93" s="850"/>
      <c r="AQ93" s="850"/>
      <c r="AR93" s="850"/>
      <c r="AS93" s="850"/>
      <c r="AT93" s="850"/>
      <c r="AU93" s="850"/>
      <c r="AV93" s="850"/>
      <c r="AW93" s="850"/>
      <c r="AX93" s="850"/>
      <c r="AY93" s="850"/>
      <c r="AZ93" s="850"/>
    </row>
    <row r="94" spans="2:52" ht="15" customHeight="1" x14ac:dyDescent="0.3">
      <c r="B94" s="33"/>
      <c r="C94" s="172"/>
      <c r="D94" s="303"/>
      <c r="E94" s="850"/>
      <c r="F94" s="850"/>
      <c r="G94" s="850"/>
      <c r="H94" s="850"/>
      <c r="I94" s="850"/>
      <c r="J94" s="850"/>
      <c r="K94" s="850"/>
      <c r="L94" s="850"/>
      <c r="M94" s="850"/>
      <c r="N94" s="850"/>
      <c r="O94" s="850"/>
      <c r="P94" s="850"/>
      <c r="Q94" s="850"/>
      <c r="R94" s="850"/>
      <c r="S94" s="850"/>
      <c r="T94" s="850"/>
      <c r="U94" s="850"/>
      <c r="V94" s="850"/>
      <c r="W94" s="850"/>
      <c r="X94" s="850"/>
      <c r="Y94" s="850"/>
      <c r="Z94" s="850"/>
      <c r="AA94" s="850"/>
      <c r="AB94" s="850"/>
      <c r="AC94" s="850"/>
      <c r="AD94" s="850"/>
      <c r="AE94" s="850"/>
      <c r="AF94" s="850"/>
      <c r="AG94" s="850"/>
      <c r="AH94" s="850"/>
      <c r="AI94" s="850"/>
      <c r="AJ94" s="850"/>
      <c r="AK94" s="850"/>
      <c r="AL94" s="850"/>
      <c r="AM94" s="850"/>
      <c r="AN94" s="850"/>
      <c r="AO94" s="850"/>
      <c r="AP94" s="850"/>
      <c r="AQ94" s="850"/>
      <c r="AR94" s="850"/>
      <c r="AS94" s="850"/>
      <c r="AT94" s="850"/>
      <c r="AU94" s="850"/>
      <c r="AV94" s="850"/>
      <c r="AW94" s="850"/>
      <c r="AX94" s="850"/>
      <c r="AY94" s="850"/>
      <c r="AZ94" s="850"/>
    </row>
    <row r="95" spans="2:52" ht="15" customHeight="1" x14ac:dyDescent="0.3">
      <c r="B95" s="33"/>
      <c r="C95" s="172"/>
      <c r="D95" s="303"/>
      <c r="E95" s="850"/>
      <c r="F95" s="850"/>
      <c r="G95" s="850"/>
      <c r="H95" s="850"/>
      <c r="I95" s="850"/>
      <c r="J95" s="850"/>
      <c r="K95" s="850"/>
      <c r="L95" s="850"/>
      <c r="M95" s="850"/>
      <c r="N95" s="850"/>
      <c r="O95" s="850"/>
      <c r="P95" s="850"/>
      <c r="Q95" s="850"/>
      <c r="R95" s="850"/>
      <c r="S95" s="850"/>
      <c r="T95" s="850"/>
      <c r="U95" s="850"/>
      <c r="V95" s="850"/>
      <c r="W95" s="850"/>
      <c r="X95" s="850"/>
      <c r="Y95" s="850"/>
      <c r="Z95" s="850"/>
      <c r="AA95" s="850"/>
      <c r="AB95" s="850"/>
      <c r="AC95" s="850"/>
      <c r="AD95" s="850"/>
      <c r="AE95" s="850"/>
      <c r="AF95" s="850"/>
      <c r="AG95" s="850"/>
      <c r="AH95" s="850"/>
      <c r="AI95" s="850"/>
      <c r="AJ95" s="850"/>
      <c r="AK95" s="850"/>
      <c r="AL95" s="850"/>
      <c r="AM95" s="850"/>
      <c r="AN95" s="850"/>
      <c r="AO95" s="850"/>
      <c r="AP95" s="850"/>
      <c r="AQ95" s="850"/>
      <c r="AR95" s="850"/>
      <c r="AS95" s="850"/>
      <c r="AT95" s="850"/>
      <c r="AU95" s="850"/>
      <c r="AV95" s="850"/>
      <c r="AW95" s="850"/>
      <c r="AX95" s="850"/>
      <c r="AY95" s="850"/>
      <c r="AZ95" s="850"/>
    </row>
    <row r="96" spans="2:52" ht="15" customHeight="1" x14ac:dyDescent="0.3">
      <c r="B96" s="33"/>
      <c r="C96" s="172"/>
      <c r="D96" s="303"/>
      <c r="E96" s="850"/>
      <c r="F96" s="850"/>
      <c r="G96" s="850"/>
      <c r="H96" s="850"/>
      <c r="I96" s="850"/>
      <c r="J96" s="850"/>
      <c r="K96" s="850"/>
      <c r="L96" s="850"/>
      <c r="M96" s="850"/>
      <c r="N96" s="850"/>
      <c r="O96" s="850"/>
      <c r="P96" s="850"/>
      <c r="Q96" s="850"/>
      <c r="R96" s="850"/>
      <c r="S96" s="850"/>
      <c r="T96" s="850"/>
      <c r="U96" s="850"/>
      <c r="V96" s="850"/>
      <c r="W96" s="850"/>
      <c r="X96" s="850"/>
      <c r="Y96" s="850"/>
      <c r="Z96" s="850"/>
      <c r="AA96" s="850"/>
      <c r="AB96" s="850"/>
      <c r="AC96" s="850"/>
      <c r="AD96" s="850"/>
      <c r="AE96" s="850"/>
      <c r="AF96" s="850"/>
      <c r="AG96" s="850"/>
      <c r="AH96" s="850"/>
      <c r="AI96" s="850"/>
      <c r="AJ96" s="850"/>
      <c r="AK96" s="850"/>
      <c r="AL96" s="850"/>
      <c r="AM96" s="850"/>
      <c r="AN96" s="850"/>
      <c r="AO96" s="850"/>
      <c r="AP96" s="850"/>
      <c r="AQ96" s="850"/>
      <c r="AR96" s="850"/>
      <c r="AS96" s="850"/>
      <c r="AT96" s="850"/>
      <c r="AU96" s="850"/>
      <c r="AV96" s="850"/>
      <c r="AW96" s="850"/>
      <c r="AX96" s="850"/>
      <c r="AY96" s="850"/>
      <c r="AZ96" s="850"/>
    </row>
    <row r="97" spans="2:97" ht="15" customHeight="1" x14ac:dyDescent="0.3">
      <c r="B97" s="33"/>
      <c r="C97" s="172"/>
      <c r="D97" s="303"/>
      <c r="E97" s="850"/>
      <c r="F97" s="850"/>
      <c r="G97" s="850"/>
      <c r="H97" s="850"/>
      <c r="I97" s="850"/>
      <c r="J97" s="850"/>
      <c r="K97" s="850"/>
      <c r="L97" s="850"/>
      <c r="M97" s="850"/>
      <c r="N97" s="850"/>
      <c r="O97" s="850"/>
      <c r="P97" s="850"/>
      <c r="Q97" s="850"/>
      <c r="R97" s="850"/>
      <c r="S97" s="850"/>
      <c r="T97" s="850"/>
      <c r="U97" s="850"/>
      <c r="V97" s="850"/>
      <c r="W97" s="850"/>
      <c r="X97" s="850"/>
      <c r="Y97" s="850"/>
      <c r="Z97" s="850"/>
      <c r="AA97" s="850"/>
      <c r="AB97" s="850"/>
      <c r="AC97" s="850"/>
      <c r="AD97" s="850"/>
      <c r="AE97" s="850"/>
      <c r="AF97" s="850"/>
      <c r="AG97" s="850"/>
      <c r="AH97" s="850"/>
      <c r="AI97" s="850"/>
      <c r="AJ97" s="850"/>
      <c r="AK97" s="850"/>
      <c r="AL97" s="850"/>
      <c r="AM97" s="850"/>
      <c r="AN97" s="850"/>
      <c r="AO97" s="850"/>
      <c r="AP97" s="850"/>
      <c r="AQ97" s="850"/>
      <c r="AR97" s="850"/>
      <c r="AS97" s="850"/>
      <c r="AT97" s="850"/>
      <c r="AU97" s="850"/>
      <c r="AV97" s="850"/>
      <c r="AW97" s="850"/>
      <c r="AX97" s="850"/>
      <c r="AY97" s="850"/>
      <c r="AZ97" s="850"/>
    </row>
    <row r="98" spans="2:97" s="306" customFormat="1" ht="21" x14ac:dyDescent="0.4">
      <c r="B98" s="33"/>
      <c r="C98" s="172"/>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row>
    <row r="99" spans="2:97" ht="15" customHeight="1" x14ac:dyDescent="0.3">
      <c r="B99" s="33"/>
    </row>
    <row r="100" spans="2:97" s="801" customFormat="1" ht="29.4" customHeight="1" x14ac:dyDescent="0.4">
      <c r="B100" s="307" t="s">
        <v>462</v>
      </c>
      <c r="C100" s="308"/>
      <c r="D100" s="309"/>
      <c r="E100" s="309"/>
      <c r="F100" s="309"/>
      <c r="G100" s="309"/>
      <c r="H100" s="310"/>
      <c r="I100" s="310"/>
      <c r="J100" s="310"/>
      <c r="K100" s="310"/>
      <c r="L100" s="310"/>
      <c r="M100" s="310"/>
      <c r="N100" s="310"/>
      <c r="O100" s="310"/>
      <c r="P100" s="310"/>
      <c r="Q100" s="311"/>
      <c r="R100" s="312"/>
      <c r="S100" s="312"/>
      <c r="T100" s="312"/>
      <c r="U100" s="312"/>
      <c r="V100" s="312"/>
      <c r="W100" s="312"/>
      <c r="X100" s="313"/>
      <c r="Y100" s="313"/>
      <c r="Z100" s="313"/>
      <c r="AA100" s="313"/>
      <c r="AB100" s="313"/>
      <c r="AC100" s="313"/>
      <c r="AD100" s="313"/>
      <c r="AE100" s="313"/>
      <c r="AF100" s="313"/>
      <c r="AG100" s="314"/>
      <c r="AH100" s="314"/>
      <c r="AI100" s="314"/>
      <c r="AJ100" s="314"/>
      <c r="AK100" s="314"/>
      <c r="AL100" s="314"/>
      <c r="AM100" s="314"/>
      <c r="AN100" s="314"/>
      <c r="AO100" s="314"/>
      <c r="AP100" s="314"/>
      <c r="AQ100" s="314"/>
      <c r="AR100" s="314"/>
      <c r="AS100" s="314"/>
      <c r="AT100" s="314"/>
      <c r="AU100" s="314"/>
      <c r="AV100" s="314"/>
      <c r="AW100" s="314"/>
      <c r="AX100" s="314"/>
      <c r="AY100" s="314"/>
      <c r="AZ100" s="314"/>
      <c r="BA100" s="314"/>
      <c r="BB100" s="314"/>
      <c r="BC100" s="314"/>
      <c r="BD100" s="800"/>
      <c r="BE100" s="800"/>
      <c r="BF100" s="800"/>
      <c r="BG100" s="800"/>
      <c r="BH100" s="800"/>
      <c r="BI100" s="800"/>
      <c r="BJ100" s="800"/>
      <c r="BK100" s="800"/>
      <c r="BL100" s="800"/>
      <c r="BM100" s="800"/>
      <c r="BN100" s="800"/>
      <c r="BO100" s="800"/>
      <c r="BP100" s="800"/>
      <c r="BQ100" s="800"/>
      <c r="BR100" s="800"/>
      <c r="BS100" s="800"/>
      <c r="BT100" s="800"/>
      <c r="BU100" s="800"/>
      <c r="BV100" s="800"/>
      <c r="BW100" s="800"/>
      <c r="BX100" s="800"/>
      <c r="BY100" s="800"/>
      <c r="BZ100" s="800"/>
      <c r="CA100" s="800"/>
      <c r="CB100" s="800"/>
      <c r="CC100" s="800"/>
      <c r="CD100" s="800"/>
      <c r="CE100" s="800"/>
      <c r="CF100" s="800"/>
      <c r="CG100" s="800"/>
      <c r="CH100" s="800"/>
      <c r="CI100" s="800"/>
      <c r="CJ100" s="800"/>
      <c r="CK100" s="800"/>
      <c r="CL100" s="800"/>
      <c r="CM100" s="800"/>
      <c r="CN100" s="800"/>
      <c r="CO100" s="800"/>
      <c r="CP100" s="800"/>
      <c r="CQ100" s="800"/>
      <c r="CR100" s="800"/>
      <c r="CS100" s="800"/>
    </row>
    <row r="101" spans="2:97" ht="20.399999999999999" customHeight="1" x14ac:dyDescent="0.4">
      <c r="B101" s="772" t="s">
        <v>463</v>
      </c>
      <c r="C101" s="773" t="s">
        <v>257</v>
      </c>
      <c r="D101" s="772" t="s">
        <v>464</v>
      </c>
      <c r="E101" s="772"/>
      <c r="F101" s="772"/>
      <c r="G101" s="772"/>
      <c r="H101" s="1050" t="s">
        <v>46</v>
      </c>
      <c r="I101" s="1050"/>
      <c r="J101" s="1050"/>
      <c r="K101" s="1050"/>
      <c r="L101" s="1050"/>
      <c r="M101" s="774" t="s">
        <v>258</v>
      </c>
      <c r="N101" s="775"/>
      <c r="O101" s="775"/>
      <c r="P101" s="775"/>
      <c r="Q101" s="775"/>
      <c r="R101" s="775"/>
      <c r="S101" s="775"/>
      <c r="T101" s="775"/>
      <c r="U101" s="775"/>
      <c r="V101" s="775"/>
      <c r="W101" s="775"/>
      <c r="X101" s="775"/>
      <c r="Y101" s="775"/>
      <c r="Z101" s="775"/>
      <c r="AA101" s="775"/>
      <c r="AB101" s="775"/>
      <c r="AC101" s="775"/>
      <c r="AD101" s="775"/>
      <c r="AE101" s="775"/>
      <c r="AF101" s="775"/>
      <c r="AG101" s="775"/>
      <c r="AH101" s="775"/>
      <c r="AI101" s="775"/>
      <c r="AJ101" s="775"/>
      <c r="AK101" s="775"/>
      <c r="AL101" s="775"/>
      <c r="AM101" s="775"/>
      <c r="AN101" s="775"/>
      <c r="AO101" s="775"/>
      <c r="AP101" s="775"/>
      <c r="AQ101" s="775"/>
      <c r="AR101" s="775"/>
      <c r="AS101" s="775"/>
      <c r="AT101" s="775"/>
      <c r="AU101" s="775"/>
      <c r="AV101" s="775"/>
      <c r="AW101" s="775"/>
      <c r="AX101" s="775"/>
      <c r="AY101" s="775"/>
      <c r="AZ101" s="775"/>
      <c r="BA101" s="775"/>
      <c r="BB101" s="775"/>
      <c r="BC101" s="775"/>
      <c r="BD101" s="775"/>
      <c r="BE101" s="775"/>
      <c r="BF101" s="775"/>
      <c r="BG101" s="775"/>
      <c r="BH101" s="775"/>
      <c r="BI101" s="775"/>
      <c r="BJ101" s="775"/>
      <c r="BK101" s="775"/>
      <c r="BL101" s="775"/>
      <c r="BM101" s="775"/>
      <c r="BN101" s="775"/>
      <c r="BO101" s="775"/>
      <c r="BP101" s="775"/>
      <c r="BQ101" s="775"/>
      <c r="BR101" s="775"/>
      <c r="BS101" s="775"/>
      <c r="BT101" s="775"/>
      <c r="BU101" s="775"/>
      <c r="BV101" s="775"/>
      <c r="BW101" s="775"/>
      <c r="BX101" s="775"/>
      <c r="BY101" s="775"/>
      <c r="BZ101" s="775"/>
      <c r="CA101" s="775"/>
      <c r="CB101" s="775"/>
      <c r="CC101" s="775"/>
      <c r="CD101" s="775"/>
      <c r="CE101" s="775"/>
      <c r="CF101" s="775"/>
      <c r="CG101" s="775"/>
      <c r="CH101" s="775"/>
      <c r="CI101" s="775"/>
      <c r="CJ101" s="775"/>
      <c r="CK101" s="775"/>
      <c r="CL101" s="775"/>
      <c r="CM101" s="775"/>
      <c r="CN101" s="775"/>
      <c r="CO101" s="775"/>
      <c r="CP101" s="775"/>
      <c r="CQ101" s="775"/>
      <c r="CR101" s="775"/>
      <c r="CS101" s="775"/>
    </row>
    <row r="102" spans="2:97" s="776" customFormat="1" ht="15" customHeight="1" x14ac:dyDescent="0.3">
      <c r="B102" s="776" t="s">
        <v>425</v>
      </c>
      <c r="C102" s="777"/>
    </row>
    <row r="103" spans="2:97" ht="15" customHeight="1" x14ac:dyDescent="0.3">
      <c r="C103" s="299"/>
    </row>
    <row r="104" spans="2:97" ht="15" customHeight="1" x14ac:dyDescent="0.3">
      <c r="C104" s="33" t="s">
        <v>427</v>
      </c>
      <c r="D104" t="s">
        <v>465</v>
      </c>
    </row>
    <row r="105" spans="2:97" ht="15" customHeight="1" x14ac:dyDescent="0.3">
      <c r="D105" s="778"/>
      <c r="E105" s="779">
        <v>2020</v>
      </c>
      <c r="F105" s="779">
        <v>2021</v>
      </c>
      <c r="G105" s="779">
        <v>2022</v>
      </c>
      <c r="H105" s="779">
        <v>2023</v>
      </c>
      <c r="I105" s="779">
        <v>2024</v>
      </c>
      <c r="J105" s="779">
        <v>2025</v>
      </c>
      <c r="K105" s="779">
        <v>2026</v>
      </c>
      <c r="L105" s="779">
        <v>2027</v>
      </c>
      <c r="M105" s="779">
        <v>2028</v>
      </c>
      <c r="N105" s="779">
        <v>2029</v>
      </c>
      <c r="O105" s="779">
        <v>2030</v>
      </c>
      <c r="P105" s="779">
        <v>2031</v>
      </c>
      <c r="Q105" s="779">
        <v>2032</v>
      </c>
      <c r="R105" s="779">
        <v>2033</v>
      </c>
      <c r="S105" s="779">
        <v>2034</v>
      </c>
      <c r="T105" s="779">
        <v>2035</v>
      </c>
    </row>
    <row r="106" spans="2:97" ht="15" customHeight="1" x14ac:dyDescent="0.3">
      <c r="C106"/>
      <c r="D106" s="778" t="s">
        <v>431</v>
      </c>
      <c r="E106" s="778"/>
      <c r="F106" s="780" t="s">
        <v>466</v>
      </c>
      <c r="G106" s="781"/>
      <c r="H106" s="780" t="s">
        <v>467</v>
      </c>
      <c r="I106" s="781"/>
      <c r="J106" s="781"/>
      <c r="K106" s="781"/>
      <c r="L106" s="781"/>
      <c r="M106" s="781"/>
      <c r="N106" s="781"/>
      <c r="O106" s="778"/>
      <c r="P106" s="778"/>
      <c r="Q106" s="778"/>
      <c r="R106" s="778"/>
      <c r="S106" s="778"/>
      <c r="T106" s="778"/>
    </row>
    <row r="107" spans="2:97" ht="15" customHeight="1" x14ac:dyDescent="0.3">
      <c r="C107"/>
      <c r="D107" s="778" t="s">
        <v>430</v>
      </c>
      <c r="E107" s="778"/>
      <c r="F107" s="781"/>
      <c r="G107" s="780" t="s">
        <v>468</v>
      </c>
      <c r="H107" s="781"/>
      <c r="I107" s="781"/>
      <c r="J107" s="781"/>
      <c r="K107" s="781"/>
      <c r="L107" s="781"/>
      <c r="M107" s="781"/>
      <c r="N107" s="781" t="s">
        <v>469</v>
      </c>
      <c r="O107" s="778"/>
      <c r="P107" s="778"/>
      <c r="Q107" s="778"/>
      <c r="R107" s="778"/>
      <c r="S107" s="778"/>
      <c r="T107" s="778"/>
    </row>
    <row r="108" spans="2:97" ht="15" customHeight="1" x14ac:dyDescent="0.3">
      <c r="C108"/>
      <c r="D108" s="778" t="s">
        <v>429</v>
      </c>
      <c r="E108" s="778"/>
      <c r="F108" s="781"/>
      <c r="G108" s="781" t="s">
        <v>470</v>
      </c>
      <c r="H108" s="781"/>
      <c r="I108" s="780" t="s">
        <v>471</v>
      </c>
      <c r="J108" s="781"/>
      <c r="K108" s="781"/>
      <c r="L108" s="781"/>
      <c r="M108" s="781"/>
      <c r="N108" s="780" t="s">
        <v>472</v>
      </c>
      <c r="O108" s="778"/>
      <c r="P108" s="778"/>
      <c r="Q108" s="778"/>
      <c r="R108" s="778"/>
      <c r="S108" s="778"/>
      <c r="T108" s="778"/>
    </row>
    <row r="109" spans="2:97" ht="15" customHeight="1" x14ac:dyDescent="0.3">
      <c r="C109"/>
      <c r="F109" s="58"/>
      <c r="G109" s="58"/>
      <c r="H109" s="58"/>
      <c r="I109" s="58"/>
      <c r="J109" s="58"/>
      <c r="K109" s="58"/>
      <c r="L109" s="58"/>
      <c r="M109" s="58"/>
    </row>
    <row r="110" spans="2:97" ht="15" customHeight="1" x14ac:dyDescent="0.3">
      <c r="C110"/>
      <c r="D110" t="s">
        <v>473</v>
      </c>
    </row>
    <row r="111" spans="2:97" ht="15" customHeight="1" x14ac:dyDescent="0.3">
      <c r="C111"/>
      <c r="D111" s="782" t="s">
        <v>474</v>
      </c>
      <c r="I111" s="783"/>
    </row>
    <row r="112" spans="2:97" ht="15" customHeight="1" x14ac:dyDescent="0.3">
      <c r="C112"/>
      <c r="D112" s="782" t="s">
        <v>475</v>
      </c>
      <c r="I112" s="783"/>
    </row>
    <row r="113" spans="3:23" ht="15" customHeight="1" x14ac:dyDescent="0.3">
      <c r="C113"/>
      <c r="D113" s="782" t="s">
        <v>476</v>
      </c>
      <c r="I113" s="783"/>
    </row>
    <row r="114" spans="3:23" ht="15" customHeight="1" x14ac:dyDescent="0.3">
      <c r="C114"/>
      <c r="D114" s="782" t="s">
        <v>477</v>
      </c>
      <c r="I114" s="783"/>
    </row>
    <row r="115" spans="3:23" ht="15" customHeight="1" x14ac:dyDescent="0.3">
      <c r="C115"/>
      <c r="D115" s="782" t="s">
        <v>478</v>
      </c>
      <c r="I115" s="783"/>
    </row>
    <row r="116" spans="3:23" ht="15" customHeight="1" x14ac:dyDescent="0.3">
      <c r="C116"/>
      <c r="D116" s="783"/>
      <c r="I116" s="783"/>
    </row>
    <row r="117" spans="3:23" ht="15" customHeight="1" x14ac:dyDescent="0.3">
      <c r="C117"/>
      <c r="D117" s="783"/>
      <c r="I117" s="783"/>
    </row>
    <row r="118" spans="3:23" ht="15" customHeight="1" x14ac:dyDescent="0.3">
      <c r="C118" s="33" t="s">
        <v>432</v>
      </c>
      <c r="D118" s="1051" t="s">
        <v>479</v>
      </c>
      <c r="E118" s="1052"/>
      <c r="F118" s="1052"/>
      <c r="G118" s="1053"/>
      <c r="I118" s="783"/>
    </row>
    <row r="119" spans="3:23" ht="15" customHeight="1" x14ac:dyDescent="0.3">
      <c r="C119" s="299"/>
      <c r="D119" s="1054"/>
      <c r="E119" s="1055"/>
      <c r="F119" s="1055"/>
      <c r="G119" s="1056"/>
      <c r="I119" s="783"/>
    </row>
    <row r="120" spans="3:23" ht="15" customHeight="1" x14ac:dyDescent="0.3">
      <c r="C120"/>
      <c r="D120" s="783"/>
      <c r="I120" s="783"/>
    </row>
    <row r="121" spans="3:23" ht="15" customHeight="1" x14ac:dyDescent="0.3">
      <c r="C121" s="299"/>
      <c r="D121" s="783"/>
      <c r="I121" s="783"/>
    </row>
    <row r="122" spans="3:23" ht="15" customHeight="1" x14ac:dyDescent="0.3">
      <c r="C122" s="784" t="s">
        <v>433</v>
      </c>
      <c r="D122" s="1044" t="s">
        <v>480</v>
      </c>
      <c r="E122" s="1044"/>
      <c r="F122" s="1044"/>
      <c r="I122" s="783"/>
    </row>
    <row r="123" spans="3:23" ht="15" customHeight="1" x14ac:dyDescent="0.3">
      <c r="C123" s="299"/>
      <c r="D123" s="1044"/>
      <c r="E123" s="1044"/>
      <c r="F123" s="1044"/>
      <c r="I123" s="783"/>
    </row>
    <row r="124" spans="3:23" ht="15" customHeight="1" x14ac:dyDescent="0.3">
      <c r="C124"/>
      <c r="D124" s="783"/>
      <c r="I124" s="783"/>
    </row>
    <row r="125" spans="3:23" ht="15" customHeight="1" x14ac:dyDescent="0.3">
      <c r="C125" s="302" t="s">
        <v>481</v>
      </c>
      <c r="D125" s="783"/>
      <c r="I125" s="783"/>
    </row>
    <row r="126" spans="3:23" ht="15" customHeight="1" x14ac:dyDescent="0.3">
      <c r="C126"/>
      <c r="D126" s="1057" t="s">
        <v>482</v>
      </c>
      <c r="E126" s="1058"/>
      <c r="F126" s="785"/>
      <c r="G126" s="785">
        <v>2021</v>
      </c>
      <c r="H126" s="785">
        <v>2022</v>
      </c>
      <c r="I126" s="785">
        <v>2023</v>
      </c>
      <c r="J126" s="785">
        <v>2024</v>
      </c>
      <c r="K126" s="785">
        <v>2025</v>
      </c>
      <c r="L126" s="785">
        <v>2026</v>
      </c>
      <c r="M126" s="785">
        <v>2027</v>
      </c>
      <c r="N126" s="785">
        <v>2028</v>
      </c>
      <c r="O126" s="785">
        <v>2029</v>
      </c>
      <c r="P126" s="785">
        <v>2030</v>
      </c>
      <c r="Q126" s="785">
        <v>2031</v>
      </c>
      <c r="R126" s="785">
        <v>2032</v>
      </c>
      <c r="S126" s="785">
        <v>2033</v>
      </c>
      <c r="T126" s="785">
        <v>2034</v>
      </c>
      <c r="U126" s="785">
        <v>2035</v>
      </c>
      <c r="W126" s="30" t="s">
        <v>483</v>
      </c>
    </row>
    <row r="127" spans="3:23" ht="15" customHeight="1" x14ac:dyDescent="0.3">
      <c r="C127"/>
      <c r="D127" s="1057"/>
      <c r="E127" s="1058"/>
      <c r="F127" s="778" t="s">
        <v>484</v>
      </c>
      <c r="G127" s="786">
        <v>2.1309857112309505</v>
      </c>
      <c r="H127" s="786">
        <v>2.1220649284046176</v>
      </c>
      <c r="I127" s="786">
        <v>2.1417973128127166</v>
      </c>
      <c r="J127" s="786">
        <v>2.1753450965133538</v>
      </c>
      <c r="K127" s="786">
        <v>2.2358352517095086</v>
      </c>
      <c r="L127" s="786">
        <v>2.3009986829396012</v>
      </c>
      <c r="M127" s="786">
        <v>2.3843038421226783</v>
      </c>
      <c r="N127" s="786">
        <v>2.4831186659321345</v>
      </c>
      <c r="O127" s="786">
        <v>2.6056670120860348</v>
      </c>
      <c r="P127" s="786">
        <v>2.7065448624726325</v>
      </c>
      <c r="Q127" s="786">
        <v>2.7624195582035789</v>
      </c>
      <c r="R127" s="786">
        <v>2.8182942539345253</v>
      </c>
      <c r="S127" s="786">
        <v>2.8741689496654717</v>
      </c>
      <c r="T127" s="786">
        <v>2.930043645396418</v>
      </c>
      <c r="U127" s="786">
        <v>2.9859183411273644</v>
      </c>
      <c r="W127" t="s">
        <v>485</v>
      </c>
    </row>
    <row r="128" spans="3:23" ht="15" customHeight="1" x14ac:dyDescent="0.3">
      <c r="C128"/>
      <c r="D128" s="1057"/>
      <c r="E128" s="1058"/>
      <c r="F128" s="786" t="s">
        <v>486</v>
      </c>
      <c r="G128" s="786"/>
      <c r="H128" s="787">
        <v>0.9</v>
      </c>
      <c r="I128" s="787">
        <v>0.9</v>
      </c>
      <c r="J128" s="787">
        <v>0.9</v>
      </c>
      <c r="K128" s="787">
        <v>0.95</v>
      </c>
      <c r="L128" s="787">
        <v>0.99</v>
      </c>
      <c r="M128" s="787">
        <v>0.99</v>
      </c>
      <c r="N128" s="787">
        <v>0.99</v>
      </c>
      <c r="O128" s="787">
        <v>0.99</v>
      </c>
      <c r="P128" s="787">
        <v>0.99</v>
      </c>
      <c r="Q128" s="787">
        <v>0.99</v>
      </c>
      <c r="R128" s="787">
        <v>0.99</v>
      </c>
      <c r="S128" s="787">
        <v>0.99</v>
      </c>
      <c r="T128" s="787">
        <v>0.99</v>
      </c>
      <c r="U128" s="787">
        <v>0.99</v>
      </c>
      <c r="W128" t="s">
        <v>487</v>
      </c>
    </row>
    <row r="129" spans="2:20" ht="15" customHeight="1" x14ac:dyDescent="0.3">
      <c r="C129"/>
      <c r="E129" s="160"/>
      <c r="F129" s="160"/>
      <c r="G129" s="160"/>
      <c r="H129" s="160"/>
      <c r="I129" s="160"/>
      <c r="J129" s="160"/>
      <c r="K129" s="160"/>
      <c r="L129" s="160"/>
      <c r="M129" s="160"/>
      <c r="N129" s="160"/>
      <c r="O129" s="160"/>
      <c r="P129" s="160"/>
      <c r="Q129" s="160"/>
      <c r="R129" s="160"/>
      <c r="S129" s="160"/>
      <c r="T129" s="160"/>
    </row>
    <row r="130" spans="2:20" ht="15" customHeight="1" x14ac:dyDescent="0.3">
      <c r="C130"/>
      <c r="D130" s="1059" t="s">
        <v>488</v>
      </c>
      <c r="E130" s="1048" t="s">
        <v>489</v>
      </c>
      <c r="F130" s="1048"/>
      <c r="G130" s="1048"/>
      <c r="H130" s="160"/>
      <c r="I130" s="160"/>
      <c r="J130" s="160"/>
      <c r="K130" s="160"/>
      <c r="L130" s="160"/>
      <c r="M130" s="160"/>
      <c r="N130" s="160"/>
      <c r="O130" s="160"/>
      <c r="P130" s="160"/>
      <c r="Q130" s="160"/>
      <c r="R130" s="160"/>
      <c r="S130" s="160"/>
      <c r="T130" s="160"/>
    </row>
    <row r="131" spans="2:20" ht="15" customHeight="1" x14ac:dyDescent="0.3">
      <c r="C131"/>
      <c r="D131" s="1060"/>
      <c r="E131" s="1048"/>
      <c r="F131" s="1048"/>
      <c r="G131" s="1048"/>
      <c r="H131" s="160"/>
      <c r="I131" s="160"/>
      <c r="J131" s="160"/>
      <c r="K131" s="160"/>
      <c r="L131" s="160"/>
      <c r="M131" s="160"/>
      <c r="N131" s="160"/>
      <c r="O131" s="160"/>
      <c r="P131" s="160"/>
      <c r="Q131" s="160"/>
      <c r="R131" s="160"/>
      <c r="S131" s="160"/>
      <c r="T131" s="160"/>
    </row>
    <row r="132" spans="2:20" ht="15" customHeight="1" x14ac:dyDescent="0.3">
      <c r="C132"/>
      <c r="D132" s="1061"/>
      <c r="E132" s="1048"/>
      <c r="F132" s="1048"/>
      <c r="G132" s="1048"/>
      <c r="H132" s="160"/>
      <c r="I132" s="160"/>
      <c r="J132" s="160"/>
      <c r="K132" s="160"/>
      <c r="L132" s="160"/>
      <c r="M132" s="160"/>
      <c r="N132" s="160"/>
      <c r="O132" s="160"/>
      <c r="P132" s="160"/>
      <c r="Q132" s="160"/>
      <c r="R132" s="160"/>
      <c r="S132" s="160"/>
      <c r="T132" s="160"/>
    </row>
    <row r="133" spans="2:20" ht="15" customHeight="1" x14ac:dyDescent="0.3">
      <c r="C133"/>
      <c r="D133" s="1059" t="s">
        <v>490</v>
      </c>
      <c r="E133" s="1048" t="s">
        <v>491</v>
      </c>
      <c r="F133" s="1048"/>
      <c r="G133" s="1048"/>
      <c r="H133" s="160"/>
      <c r="I133" s="160"/>
      <c r="J133" s="160"/>
      <c r="K133" s="160"/>
      <c r="L133" s="160"/>
      <c r="M133" s="160"/>
      <c r="N133" s="160"/>
      <c r="O133" s="160"/>
      <c r="P133" s="160"/>
      <c r="Q133" s="160"/>
      <c r="R133" s="160"/>
      <c r="S133" s="160"/>
      <c r="T133" s="160"/>
    </row>
    <row r="134" spans="2:20" ht="15" customHeight="1" x14ac:dyDescent="0.3">
      <c r="C134"/>
      <c r="D134" s="1060"/>
      <c r="E134" s="1048"/>
      <c r="F134" s="1048"/>
      <c r="G134" s="1048"/>
      <c r="H134" s="160"/>
      <c r="I134" s="160"/>
      <c r="J134" s="160"/>
      <c r="K134" s="160"/>
      <c r="L134" s="160"/>
      <c r="M134" s="160"/>
      <c r="N134" s="160"/>
      <c r="O134" s="160"/>
      <c r="P134" s="160"/>
      <c r="Q134" s="160"/>
      <c r="R134" s="160"/>
      <c r="S134" s="160"/>
      <c r="T134" s="160"/>
    </row>
    <row r="135" spans="2:20" ht="15" customHeight="1" x14ac:dyDescent="0.3">
      <c r="C135"/>
      <c r="D135" s="1060"/>
      <c r="E135" s="1048"/>
      <c r="F135" s="1048"/>
      <c r="G135" s="1048"/>
      <c r="H135" s="160"/>
      <c r="I135" s="160"/>
      <c r="J135" s="160"/>
      <c r="K135" s="160"/>
      <c r="L135" s="160"/>
      <c r="M135" s="160"/>
      <c r="N135" s="160"/>
      <c r="O135" s="160"/>
      <c r="P135" s="160"/>
      <c r="Q135" s="160"/>
      <c r="R135" s="160"/>
      <c r="S135" s="160"/>
      <c r="T135" s="160"/>
    </row>
    <row r="136" spans="2:20" ht="15" customHeight="1" x14ac:dyDescent="0.3">
      <c r="C136"/>
      <c r="D136" s="1061"/>
      <c r="E136" s="1048"/>
      <c r="F136" s="1048"/>
      <c r="G136" s="1048"/>
      <c r="H136" s="160"/>
      <c r="I136" s="160"/>
      <c r="J136" s="160"/>
      <c r="K136" s="160"/>
      <c r="L136" s="160"/>
      <c r="M136" s="160"/>
      <c r="N136" s="160"/>
      <c r="O136" s="160"/>
      <c r="P136" s="160"/>
      <c r="Q136" s="160"/>
      <c r="R136" s="160"/>
      <c r="S136" s="160"/>
      <c r="T136" s="160"/>
    </row>
    <row r="137" spans="2:20" ht="15" customHeight="1" x14ac:dyDescent="0.3">
      <c r="C137"/>
      <c r="E137" s="160"/>
      <c r="F137" s="160"/>
      <c r="G137" s="160"/>
      <c r="H137" s="160"/>
      <c r="I137" s="160"/>
      <c r="J137" s="160"/>
      <c r="K137" s="160"/>
      <c r="L137" s="160"/>
      <c r="M137" s="160"/>
      <c r="N137" s="160"/>
      <c r="O137" s="160"/>
      <c r="P137" s="160"/>
      <c r="Q137" s="160"/>
      <c r="R137" s="160"/>
      <c r="S137" s="160"/>
      <c r="T137" s="160"/>
    </row>
    <row r="138" spans="2:20" ht="15" customHeight="1" x14ac:dyDescent="0.3">
      <c r="C138"/>
      <c r="E138" s="160"/>
      <c r="F138" s="160"/>
      <c r="G138" s="160"/>
      <c r="H138" s="160"/>
      <c r="I138" s="160"/>
      <c r="J138" s="160"/>
      <c r="K138" s="160"/>
      <c r="L138" s="160"/>
      <c r="M138" s="160"/>
      <c r="N138" s="160"/>
      <c r="O138" s="160"/>
      <c r="P138" s="160"/>
      <c r="Q138" s="160"/>
      <c r="R138" s="160"/>
      <c r="S138" s="160"/>
      <c r="T138" s="160"/>
    </row>
    <row r="139" spans="2:20" ht="15" customHeight="1" x14ac:dyDescent="0.3">
      <c r="C139"/>
      <c r="E139" s="160"/>
      <c r="F139" s="160"/>
      <c r="G139" s="160"/>
      <c r="H139" s="160"/>
      <c r="I139" s="160"/>
      <c r="J139" s="160"/>
      <c r="K139" s="160"/>
      <c r="L139" s="160"/>
      <c r="M139" s="160"/>
      <c r="N139" s="160"/>
      <c r="O139" s="160"/>
      <c r="P139" s="160"/>
      <c r="Q139" s="160"/>
      <c r="R139" s="160"/>
      <c r="S139" s="160"/>
      <c r="T139" s="160"/>
    </row>
    <row r="140" spans="2:20" ht="15" customHeight="1" x14ac:dyDescent="0.3">
      <c r="C140" s="299"/>
      <c r="D140" s="783"/>
      <c r="I140" s="783"/>
    </row>
    <row r="141" spans="2:20" ht="15" customHeight="1" x14ac:dyDescent="0.3">
      <c r="C141" s="299"/>
    </row>
    <row r="142" spans="2:20" s="776" customFormat="1" ht="15" customHeight="1" x14ac:dyDescent="0.3">
      <c r="B142" s="776" t="s">
        <v>439</v>
      </c>
      <c r="C142" s="788"/>
    </row>
    <row r="143" spans="2:20" ht="15" customHeight="1" x14ac:dyDescent="0.3">
      <c r="C143" s="299"/>
    </row>
    <row r="144" spans="2:20" ht="15" customHeight="1" x14ac:dyDescent="0.3">
      <c r="C144" s="299"/>
      <c r="D144" t="s">
        <v>492</v>
      </c>
    </row>
    <row r="145" spans="3:21" ht="15" customHeight="1" x14ac:dyDescent="0.3">
      <c r="C145" s="33" t="s">
        <v>493</v>
      </c>
    </row>
    <row r="146" spans="3:21" ht="15" customHeight="1" x14ac:dyDescent="0.3">
      <c r="C146" s="789" t="s">
        <v>494</v>
      </c>
      <c r="D146" s="778" t="s">
        <v>495</v>
      </c>
      <c r="E146" s="778" t="s">
        <v>464</v>
      </c>
      <c r="F146" s="778" t="s">
        <v>496</v>
      </c>
      <c r="G146" s="778" t="s">
        <v>497</v>
      </c>
      <c r="H146" s="778" t="s">
        <v>498</v>
      </c>
      <c r="I146" s="778" t="s">
        <v>499</v>
      </c>
      <c r="J146" s="778"/>
    </row>
    <row r="147" spans="3:21" ht="15" customHeight="1" x14ac:dyDescent="0.3">
      <c r="C147" s="789" t="s">
        <v>500</v>
      </c>
      <c r="D147" s="778" t="s">
        <v>501</v>
      </c>
      <c r="E147" s="781" t="s">
        <v>502</v>
      </c>
      <c r="F147" s="781" t="s">
        <v>503</v>
      </c>
      <c r="G147" s="781" t="s">
        <v>504</v>
      </c>
      <c r="H147" s="781" t="s">
        <v>505</v>
      </c>
      <c r="I147" s="1041" t="s">
        <v>506</v>
      </c>
      <c r="J147" s="1042"/>
    </row>
    <row r="148" spans="3:21" ht="15" customHeight="1" x14ac:dyDescent="0.3">
      <c r="C148" s="789" t="s">
        <v>500</v>
      </c>
      <c r="D148" s="778" t="s">
        <v>507</v>
      </c>
      <c r="E148" s="781" t="s">
        <v>508</v>
      </c>
      <c r="F148" s="781" t="s">
        <v>509</v>
      </c>
      <c r="G148" s="781" t="s">
        <v>504</v>
      </c>
      <c r="H148" s="781" t="s">
        <v>505</v>
      </c>
      <c r="I148" s="1041" t="s">
        <v>510</v>
      </c>
      <c r="J148" s="1042"/>
    </row>
    <row r="149" spans="3:21" ht="15" customHeight="1" x14ac:dyDescent="0.3">
      <c r="C149" s="789" t="s">
        <v>500</v>
      </c>
      <c r="D149" s="778" t="s">
        <v>511</v>
      </c>
      <c r="E149" s="781" t="s">
        <v>512</v>
      </c>
      <c r="F149" s="781" t="s">
        <v>503</v>
      </c>
      <c r="G149" s="781" t="s">
        <v>513</v>
      </c>
      <c r="H149" s="781" t="s">
        <v>505</v>
      </c>
      <c r="I149" s="1041" t="s">
        <v>514</v>
      </c>
      <c r="J149" s="1042"/>
    </row>
    <row r="150" spans="3:21" ht="15" customHeight="1" x14ac:dyDescent="0.3">
      <c r="C150" s="789" t="s">
        <v>500</v>
      </c>
      <c r="D150" s="778" t="s">
        <v>515</v>
      </c>
      <c r="E150" s="781" t="s">
        <v>516</v>
      </c>
      <c r="F150" s="781" t="s">
        <v>509</v>
      </c>
      <c r="G150" s="781" t="s">
        <v>513</v>
      </c>
      <c r="H150" s="781" t="s">
        <v>505</v>
      </c>
      <c r="I150" s="1041" t="s">
        <v>514</v>
      </c>
      <c r="J150" s="1042"/>
    </row>
    <row r="151" spans="3:21" ht="15" customHeight="1" x14ac:dyDescent="0.3">
      <c r="C151" s="789" t="s">
        <v>517</v>
      </c>
      <c r="D151" s="778" t="s">
        <v>518</v>
      </c>
      <c r="E151" s="781" t="s">
        <v>519</v>
      </c>
      <c r="F151" s="781" t="s">
        <v>503</v>
      </c>
      <c r="G151" s="781" t="s">
        <v>520</v>
      </c>
      <c r="H151" s="781" t="s">
        <v>505</v>
      </c>
      <c r="I151" s="1041" t="s">
        <v>521</v>
      </c>
      <c r="J151" s="1042"/>
    </row>
    <row r="152" spans="3:21" ht="15" customHeight="1" x14ac:dyDescent="0.3">
      <c r="C152" s="789" t="s">
        <v>517</v>
      </c>
      <c r="D152" s="778" t="s">
        <v>522</v>
      </c>
      <c r="E152" s="781" t="s">
        <v>523</v>
      </c>
      <c r="F152" s="781" t="s">
        <v>509</v>
      </c>
      <c r="G152" s="781" t="s">
        <v>524</v>
      </c>
      <c r="H152" s="781" t="s">
        <v>505</v>
      </c>
      <c r="I152" s="1041" t="s">
        <v>525</v>
      </c>
      <c r="J152" s="1042"/>
    </row>
    <row r="153" spans="3:21" ht="15" customHeight="1" x14ac:dyDescent="0.3">
      <c r="C153" s="299"/>
    </row>
    <row r="154" spans="3:21" ht="15" customHeight="1" x14ac:dyDescent="0.3">
      <c r="C154" s="30" t="s">
        <v>526</v>
      </c>
      <c r="F154" s="174"/>
      <c r="G154" s="174"/>
      <c r="H154" s="174"/>
      <c r="I154" s="174"/>
      <c r="J154" s="174"/>
      <c r="K154" s="174"/>
      <c r="L154" s="174"/>
      <c r="M154" s="174"/>
      <c r="N154" s="174"/>
      <c r="O154" s="174"/>
      <c r="P154" s="174"/>
      <c r="Q154" s="174"/>
      <c r="R154" s="174"/>
      <c r="S154" s="174"/>
      <c r="T154" s="174"/>
      <c r="U154" s="174"/>
    </row>
    <row r="155" spans="3:21" ht="15" customHeight="1" x14ac:dyDescent="0.3">
      <c r="D155" s="1043" t="s">
        <v>527</v>
      </c>
      <c r="E155" s="1043"/>
      <c r="F155" s="1043"/>
      <c r="G155" s="1043"/>
    </row>
    <row r="156" spans="3:21" ht="15" customHeight="1" x14ac:dyDescent="0.3">
      <c r="C156"/>
      <c r="D156" s="1043"/>
      <c r="E156" s="1043"/>
      <c r="F156" s="1043"/>
      <c r="G156" s="1043"/>
    </row>
    <row r="157" spans="3:21" ht="15" customHeight="1" x14ac:dyDescent="0.3">
      <c r="C157"/>
      <c r="D157" s="790"/>
      <c r="E157" s="790"/>
      <c r="F157" s="790"/>
      <c r="G157" s="790"/>
    </row>
    <row r="158" spans="3:21" ht="15.75" customHeight="1" x14ac:dyDescent="0.3">
      <c r="C158"/>
      <c r="D158" s="778"/>
      <c r="E158" s="778" t="s">
        <v>528</v>
      </c>
      <c r="F158" s="778"/>
      <c r="G158" s="778" t="s">
        <v>529</v>
      </c>
    </row>
    <row r="159" spans="3:21" x14ac:dyDescent="0.3">
      <c r="C159"/>
      <c r="D159" s="778" t="s">
        <v>530</v>
      </c>
      <c r="E159" s="1044" t="s">
        <v>531</v>
      </c>
      <c r="F159" s="1044"/>
      <c r="G159" s="778" t="s">
        <v>532</v>
      </c>
    </row>
    <row r="160" spans="3:21" ht="28.8" x14ac:dyDescent="0.3">
      <c r="C160"/>
      <c r="D160" s="778" t="s">
        <v>533</v>
      </c>
      <c r="E160" s="1044" t="s">
        <v>534</v>
      </c>
      <c r="F160" s="1044"/>
      <c r="G160" s="781" t="s">
        <v>535</v>
      </c>
    </row>
    <row r="161" spans="3:8" x14ac:dyDescent="0.3">
      <c r="C161"/>
    </row>
    <row r="162" spans="3:8" x14ac:dyDescent="0.3">
      <c r="C162" s="30" t="s">
        <v>536</v>
      </c>
    </row>
    <row r="163" spans="3:8" x14ac:dyDescent="0.3">
      <c r="C163"/>
      <c r="D163" s="1045" t="s">
        <v>537</v>
      </c>
      <c r="E163" s="1048" t="s">
        <v>538</v>
      </c>
      <c r="F163" s="1048"/>
      <c r="G163" s="1048"/>
    </row>
    <row r="164" spans="3:8" x14ac:dyDescent="0.3">
      <c r="C164"/>
      <c r="D164" s="1046"/>
      <c r="E164" s="1048"/>
      <c r="F164" s="1048"/>
      <c r="G164" s="1048"/>
    </row>
    <row r="165" spans="3:8" x14ac:dyDescent="0.3">
      <c r="C165"/>
      <c r="D165" s="1047"/>
      <c r="E165" s="1048"/>
      <c r="F165" s="1048"/>
      <c r="G165" s="1048"/>
    </row>
    <row r="166" spans="3:8" x14ac:dyDescent="0.3">
      <c r="C166"/>
      <c r="E166" s="791"/>
      <c r="F166" s="791"/>
      <c r="G166" s="791"/>
    </row>
    <row r="167" spans="3:8" x14ac:dyDescent="0.3">
      <c r="C167"/>
    </row>
    <row r="168" spans="3:8" x14ac:dyDescent="0.3">
      <c r="C168"/>
      <c r="H168" s="103"/>
    </row>
    <row r="169" spans="3:8" x14ac:dyDescent="0.3">
      <c r="C169"/>
    </row>
    <row r="170" spans="3:8" x14ac:dyDescent="0.3">
      <c r="C170"/>
    </row>
    <row r="171" spans="3:8" x14ac:dyDescent="0.3">
      <c r="C171"/>
    </row>
    <row r="172" spans="3:8" x14ac:dyDescent="0.3">
      <c r="C172" s="30" t="s">
        <v>498</v>
      </c>
    </row>
    <row r="173" spans="3:8" x14ac:dyDescent="0.3">
      <c r="C173"/>
      <c r="D173" s="1044" t="s">
        <v>539</v>
      </c>
      <c r="E173" s="1044"/>
      <c r="F173" s="1044"/>
    </row>
    <row r="174" spans="3:8" x14ac:dyDescent="0.3">
      <c r="C174"/>
      <c r="D174" s="1044"/>
      <c r="E174" s="1044"/>
      <c r="F174" s="1044"/>
    </row>
    <row r="175" spans="3:8" x14ac:dyDescent="0.3">
      <c r="C175"/>
    </row>
    <row r="176" spans="3:8" x14ac:dyDescent="0.3">
      <c r="C176"/>
    </row>
    <row r="177" spans="3:20" x14ac:dyDescent="0.3">
      <c r="C177" s="30" t="s">
        <v>499</v>
      </c>
      <c r="E177" t="s">
        <v>540</v>
      </c>
    </row>
    <row r="178" spans="3:20" x14ac:dyDescent="0.3">
      <c r="C178"/>
    </row>
    <row r="179" spans="3:20" x14ac:dyDescent="0.3">
      <c r="C179"/>
      <c r="D179" s="30" t="s">
        <v>541</v>
      </c>
    </row>
    <row r="180" spans="3:20" x14ac:dyDescent="0.3">
      <c r="C180"/>
      <c r="D180" s="792"/>
      <c r="E180" s="778">
        <v>2020</v>
      </c>
      <c r="F180" s="778">
        <v>2021</v>
      </c>
      <c r="G180" s="778">
        <v>2022</v>
      </c>
      <c r="H180" s="778">
        <v>2023</v>
      </c>
      <c r="I180" s="778">
        <v>2024</v>
      </c>
      <c r="J180" s="778">
        <v>2025</v>
      </c>
      <c r="K180" s="778">
        <v>2026</v>
      </c>
      <c r="L180" s="778">
        <v>2027</v>
      </c>
      <c r="M180" s="778">
        <v>2028</v>
      </c>
      <c r="N180" s="778">
        <v>2029</v>
      </c>
      <c r="O180" s="778">
        <v>2030</v>
      </c>
      <c r="P180" s="778">
        <v>2031</v>
      </c>
      <c r="Q180" s="778">
        <v>2032</v>
      </c>
      <c r="R180" s="778">
        <v>2033</v>
      </c>
      <c r="S180" s="778">
        <v>2034</v>
      </c>
      <c r="T180" s="778">
        <v>2035</v>
      </c>
    </row>
    <row r="181" spans="3:20" x14ac:dyDescent="0.3">
      <c r="C181"/>
      <c r="D181" s="778" t="s">
        <v>542</v>
      </c>
      <c r="E181" s="793">
        <v>0.6</v>
      </c>
      <c r="F181" s="793">
        <v>0.62</v>
      </c>
      <c r="G181" s="793">
        <v>0.64</v>
      </c>
      <c r="H181" s="793">
        <v>0.66</v>
      </c>
      <c r="I181" s="793">
        <v>0.68</v>
      </c>
      <c r="J181" s="793">
        <v>0.7</v>
      </c>
      <c r="K181" s="793">
        <v>0.72</v>
      </c>
      <c r="L181" s="793">
        <v>0.74</v>
      </c>
      <c r="M181" s="793">
        <v>0.76</v>
      </c>
      <c r="N181" s="793">
        <v>0.78</v>
      </c>
      <c r="O181" s="793">
        <v>0.8</v>
      </c>
      <c r="P181" s="793">
        <v>0.82</v>
      </c>
      <c r="Q181" s="793">
        <v>0.84</v>
      </c>
      <c r="R181" s="793">
        <v>0.86</v>
      </c>
      <c r="S181" s="793">
        <v>0.88</v>
      </c>
      <c r="T181" s="793">
        <v>0.9</v>
      </c>
    </row>
    <row r="182" spans="3:20" x14ac:dyDescent="0.3">
      <c r="C182"/>
      <c r="D182" s="778" t="s">
        <v>543</v>
      </c>
      <c r="E182" s="794">
        <v>0</v>
      </c>
      <c r="F182" s="794">
        <v>0</v>
      </c>
      <c r="G182" s="794">
        <v>0</v>
      </c>
      <c r="H182" s="794">
        <v>0.05</v>
      </c>
      <c r="I182" s="794">
        <v>0.2</v>
      </c>
      <c r="J182" s="793">
        <v>0.22</v>
      </c>
      <c r="K182" s="793">
        <v>0.24</v>
      </c>
      <c r="L182" s="793">
        <v>0.26</v>
      </c>
      <c r="M182" s="793">
        <v>0.28000000000000003</v>
      </c>
      <c r="N182" s="793">
        <v>0.3</v>
      </c>
      <c r="O182" s="793">
        <v>0.32</v>
      </c>
      <c r="P182" s="793">
        <v>0.34</v>
      </c>
      <c r="Q182" s="793">
        <v>0.36</v>
      </c>
      <c r="R182" s="793">
        <v>0.38</v>
      </c>
      <c r="S182" s="793">
        <v>0.4</v>
      </c>
      <c r="T182" s="793">
        <v>0.42</v>
      </c>
    </row>
    <row r="183" spans="3:20" x14ac:dyDescent="0.3">
      <c r="C183"/>
      <c r="D183" s="778" t="s">
        <v>544</v>
      </c>
      <c r="E183" s="795">
        <v>0</v>
      </c>
      <c r="F183" s="795">
        <v>0</v>
      </c>
      <c r="G183" s="795">
        <v>0</v>
      </c>
      <c r="H183" s="795">
        <v>0</v>
      </c>
      <c r="I183" s="794">
        <v>0.1</v>
      </c>
      <c r="J183" s="793">
        <v>0.2</v>
      </c>
      <c r="K183" s="793">
        <v>0.3</v>
      </c>
      <c r="L183" s="793">
        <v>0.4</v>
      </c>
      <c r="M183" s="793">
        <v>0.5</v>
      </c>
      <c r="N183" s="793">
        <v>0.5</v>
      </c>
      <c r="O183" s="793">
        <v>0.5</v>
      </c>
      <c r="P183" s="793">
        <v>0.5</v>
      </c>
      <c r="Q183" s="796">
        <v>0.5</v>
      </c>
      <c r="R183" s="796">
        <v>0.5</v>
      </c>
      <c r="S183" s="796">
        <v>0.5</v>
      </c>
      <c r="T183" s="796">
        <v>0.5</v>
      </c>
    </row>
    <row r="184" spans="3:20" x14ac:dyDescent="0.3">
      <c r="C184"/>
      <c r="I184" s="797"/>
      <c r="J184" s="797"/>
      <c r="K184" s="797"/>
      <c r="L184" s="797"/>
      <c r="M184" s="797"/>
      <c r="N184" s="797"/>
      <c r="O184" s="797"/>
      <c r="P184" s="797"/>
    </row>
    <row r="185" spans="3:20" x14ac:dyDescent="0.3">
      <c r="C185"/>
      <c r="D185" s="130" t="s">
        <v>545</v>
      </c>
      <c r="I185" s="797"/>
      <c r="J185" s="797"/>
      <c r="K185" s="797"/>
      <c r="L185" s="797"/>
      <c r="M185" s="797"/>
      <c r="N185" s="797"/>
      <c r="O185" s="797"/>
      <c r="P185" s="797"/>
    </row>
    <row r="186" spans="3:20" x14ac:dyDescent="0.3">
      <c r="C186"/>
      <c r="D186" s="1040" t="s">
        <v>546</v>
      </c>
      <c r="E186" s="1040"/>
      <c r="F186" s="1040"/>
      <c r="G186" s="1040"/>
      <c r="H186" s="1040"/>
      <c r="I186" s="1040"/>
      <c r="J186" s="1040"/>
      <c r="K186" s="1040"/>
      <c r="L186" s="797"/>
      <c r="M186" s="797"/>
      <c r="N186" s="797"/>
      <c r="O186" s="797"/>
      <c r="P186" s="797"/>
    </row>
    <row r="187" spans="3:20" x14ac:dyDescent="0.3">
      <c r="C187"/>
      <c r="D187" s="1040"/>
      <c r="E187" s="1040"/>
      <c r="F187" s="1040"/>
      <c r="G187" s="1040"/>
      <c r="H187" s="1040"/>
      <c r="I187" s="1040"/>
      <c r="J187" s="1040"/>
      <c r="K187" s="1040"/>
      <c r="L187" s="797"/>
      <c r="M187" s="797"/>
      <c r="N187" s="797"/>
      <c r="O187" s="797"/>
      <c r="P187" s="797"/>
    </row>
    <row r="188" spans="3:20" x14ac:dyDescent="0.3">
      <c r="C188"/>
      <c r="D188" s="1040"/>
      <c r="E188" s="1040"/>
      <c r="F188" s="1040"/>
      <c r="G188" s="1040"/>
      <c r="H188" s="1040"/>
      <c r="I188" s="1040"/>
      <c r="J188" s="1040"/>
      <c r="K188" s="1040"/>
      <c r="L188" s="797"/>
      <c r="M188" s="797"/>
      <c r="N188" s="797"/>
      <c r="O188" s="797"/>
      <c r="P188" s="797"/>
    </row>
    <row r="189" spans="3:20" x14ac:dyDescent="0.3">
      <c r="C189"/>
      <c r="D189" s="1040"/>
      <c r="E189" s="1040"/>
      <c r="F189" s="1040"/>
      <c r="G189" s="1040"/>
      <c r="H189" s="1040"/>
      <c r="I189" s="1040"/>
      <c r="J189" s="1040"/>
      <c r="K189" s="1040"/>
      <c r="L189" s="797"/>
      <c r="M189" s="797"/>
      <c r="N189" s="797"/>
      <c r="O189" s="797"/>
      <c r="P189" s="797"/>
    </row>
    <row r="190" spans="3:20" x14ac:dyDescent="0.3">
      <c r="C190"/>
      <c r="D190" s="130" t="s">
        <v>547</v>
      </c>
      <c r="I190" s="797"/>
      <c r="J190" s="797"/>
      <c r="K190" s="797"/>
      <c r="L190" s="797"/>
      <c r="M190" s="797"/>
      <c r="N190" s="797"/>
      <c r="O190" s="797"/>
      <c r="P190" s="797"/>
    </row>
    <row r="191" spans="3:20" x14ac:dyDescent="0.3">
      <c r="C191"/>
      <c r="D191" s="1040" t="s">
        <v>548</v>
      </c>
      <c r="E191" s="1040"/>
      <c r="F191" s="1040"/>
      <c r="G191" s="1040"/>
      <c r="H191" s="1040"/>
      <c r="I191" s="1040"/>
      <c r="J191" s="1040"/>
      <c r="K191" s="1040"/>
      <c r="L191" s="797"/>
      <c r="M191" s="797"/>
      <c r="N191" s="797"/>
      <c r="O191" s="797"/>
      <c r="P191" s="797"/>
    </row>
    <row r="192" spans="3:20" x14ac:dyDescent="0.3">
      <c r="C192"/>
      <c r="D192" s="1040"/>
      <c r="E192" s="1040"/>
      <c r="F192" s="1040"/>
      <c r="G192" s="1040"/>
      <c r="H192" s="1040"/>
      <c r="I192" s="1040"/>
      <c r="J192" s="1040"/>
      <c r="K192" s="1040"/>
      <c r="L192" s="797"/>
      <c r="M192" s="797"/>
      <c r="N192" s="797"/>
      <c r="O192" s="797"/>
      <c r="P192" s="797"/>
    </row>
    <row r="193" spans="3:22" x14ac:dyDescent="0.3">
      <c r="C193"/>
      <c r="D193" s="1040"/>
      <c r="E193" s="1040"/>
      <c r="F193" s="1040"/>
      <c r="G193" s="1040"/>
      <c r="H193" s="1040"/>
      <c r="I193" s="1040"/>
      <c r="J193" s="1040"/>
      <c r="K193" s="1040"/>
      <c r="L193" s="797"/>
      <c r="M193" s="797"/>
      <c r="N193" s="797"/>
      <c r="O193" s="797"/>
      <c r="P193" s="797"/>
    </row>
    <row r="194" spans="3:22" x14ac:dyDescent="0.3">
      <c r="C194"/>
      <c r="D194" s="1040"/>
      <c r="E194" s="1040"/>
      <c r="F194" s="1040"/>
      <c r="G194" s="1040"/>
      <c r="H194" s="1040"/>
      <c r="I194" s="1040"/>
      <c r="J194" s="1040"/>
      <c r="K194" s="1040"/>
      <c r="L194" s="797"/>
      <c r="M194" s="797"/>
      <c r="N194" s="797"/>
      <c r="O194" s="797"/>
      <c r="P194" s="797"/>
    </row>
    <row r="195" spans="3:22" x14ac:dyDescent="0.3">
      <c r="C195"/>
      <c r="D195" s="130" t="s">
        <v>549</v>
      </c>
      <c r="I195" s="797"/>
      <c r="J195" s="797"/>
      <c r="K195" s="797"/>
      <c r="L195" s="797"/>
      <c r="M195" s="797"/>
      <c r="N195" s="797"/>
      <c r="O195" s="797"/>
      <c r="P195" s="797"/>
    </row>
    <row r="196" spans="3:22" x14ac:dyDescent="0.3">
      <c r="C196"/>
      <c r="D196" s="1040" t="s">
        <v>550</v>
      </c>
      <c r="E196" s="1040"/>
      <c r="F196" s="1040"/>
      <c r="G196" s="1040"/>
      <c r="H196" s="1040"/>
      <c r="I196" s="1040"/>
      <c r="J196" s="1040"/>
      <c r="K196" s="797"/>
      <c r="L196" s="797"/>
      <c r="M196" s="797"/>
      <c r="N196" s="797"/>
      <c r="O196" s="797"/>
      <c r="P196" s="797"/>
    </row>
    <row r="197" spans="3:22" x14ac:dyDescent="0.3">
      <c r="C197"/>
      <c r="D197" s="1040"/>
      <c r="E197" s="1040"/>
      <c r="F197" s="1040"/>
      <c r="G197" s="1040"/>
      <c r="H197" s="1040"/>
      <c r="I197" s="1040"/>
      <c r="J197" s="1040"/>
    </row>
    <row r="198" spans="3:22" x14ac:dyDescent="0.3">
      <c r="C198"/>
      <c r="D198" s="1040"/>
      <c r="E198" s="1040"/>
      <c r="F198" s="1040"/>
      <c r="G198" s="1040"/>
      <c r="H198" s="1040"/>
      <c r="I198" s="1040"/>
      <c r="J198" s="1040"/>
    </row>
    <row r="199" spans="3:22" x14ac:dyDescent="0.3">
      <c r="C199"/>
      <c r="D199" s="1040"/>
      <c r="E199" s="1040"/>
      <c r="F199" s="1040"/>
      <c r="G199" s="1040"/>
      <c r="H199" s="1040"/>
      <c r="I199" s="1040"/>
      <c r="J199" s="1040"/>
    </row>
    <row r="200" spans="3:22" x14ac:dyDescent="0.3">
      <c r="C200"/>
    </row>
    <row r="201" spans="3:22" x14ac:dyDescent="0.3">
      <c r="C201"/>
      <c r="D201" s="30" t="s">
        <v>551</v>
      </c>
    </row>
    <row r="202" spans="3:22" x14ac:dyDescent="0.3">
      <c r="C202"/>
      <c r="D202" t="s">
        <v>552</v>
      </c>
    </row>
    <row r="203" spans="3:22" x14ac:dyDescent="0.3">
      <c r="C203"/>
    </row>
    <row r="204" spans="3:22" x14ac:dyDescent="0.3">
      <c r="C204"/>
    </row>
    <row r="205" spans="3:22" x14ac:dyDescent="0.3">
      <c r="C205"/>
      <c r="D205" s="778" t="s">
        <v>553</v>
      </c>
      <c r="E205" s="778" t="s">
        <v>554</v>
      </c>
      <c r="F205" s="778" t="s">
        <v>555</v>
      </c>
      <c r="G205" s="1037" t="s">
        <v>556</v>
      </c>
      <c r="H205" s="1038"/>
      <c r="I205" s="1038"/>
      <c r="J205" s="1038"/>
      <c r="K205" s="1038"/>
      <c r="L205" s="1038"/>
      <c r="M205" s="1038"/>
      <c r="N205" s="1038"/>
      <c r="O205" s="1038"/>
      <c r="P205" s="1038"/>
      <c r="Q205" s="1038"/>
      <c r="R205" s="1038"/>
      <c r="S205" s="1038"/>
      <c r="T205" s="1038"/>
      <c r="U205" s="1038"/>
      <c r="V205" s="1039"/>
    </row>
    <row r="206" spans="3:22" x14ac:dyDescent="0.3">
      <c r="C206"/>
      <c r="D206" s="778" t="s">
        <v>557</v>
      </c>
      <c r="E206" s="778" t="s">
        <v>558</v>
      </c>
      <c r="F206" s="795">
        <v>0.9</v>
      </c>
      <c r="G206" s="1037" t="s">
        <v>559</v>
      </c>
      <c r="H206" s="1038"/>
      <c r="I206" s="1038"/>
      <c r="J206" s="1038"/>
      <c r="K206" s="1038"/>
      <c r="L206" s="1038"/>
      <c r="M206" s="1038"/>
      <c r="N206" s="1038"/>
      <c r="O206" s="1038"/>
      <c r="P206" s="1038"/>
      <c r="Q206" s="1038"/>
      <c r="R206" s="1038"/>
      <c r="S206" s="1038"/>
      <c r="T206" s="1038"/>
      <c r="U206" s="1038"/>
      <c r="V206" s="1039"/>
    </row>
    <row r="207" spans="3:22" x14ac:dyDescent="0.3">
      <c r="C207"/>
      <c r="D207" s="778" t="s">
        <v>560</v>
      </c>
      <c r="E207" s="778" t="s">
        <v>561</v>
      </c>
      <c r="F207" s="795">
        <v>0.25</v>
      </c>
      <c r="G207" s="1037" t="s">
        <v>562</v>
      </c>
      <c r="H207" s="1038"/>
      <c r="I207" s="1038"/>
      <c r="J207" s="1038"/>
      <c r="K207" s="1038"/>
      <c r="L207" s="1038"/>
      <c r="M207" s="1038"/>
      <c r="N207" s="1038"/>
      <c r="O207" s="1038"/>
      <c r="P207" s="1038"/>
      <c r="Q207" s="1038"/>
      <c r="R207" s="1038"/>
      <c r="S207" s="1038"/>
      <c r="T207" s="1038"/>
      <c r="U207" s="1038"/>
      <c r="V207" s="1039"/>
    </row>
    <row r="208" spans="3:22" x14ac:dyDescent="0.3">
      <c r="C208"/>
      <c r="D208" s="778" t="s">
        <v>563</v>
      </c>
      <c r="E208" s="778" t="s">
        <v>564</v>
      </c>
      <c r="F208" s="795">
        <v>0.75</v>
      </c>
      <c r="G208" s="1037" t="s">
        <v>565</v>
      </c>
      <c r="H208" s="1038"/>
      <c r="I208" s="1038"/>
      <c r="J208" s="1038"/>
      <c r="K208" s="1038"/>
      <c r="L208" s="1038"/>
      <c r="M208" s="1038"/>
      <c r="N208" s="1038"/>
      <c r="O208" s="1038"/>
      <c r="P208" s="1038"/>
      <c r="Q208" s="1038"/>
      <c r="R208" s="1038"/>
      <c r="S208" s="1038"/>
      <c r="T208" s="1038"/>
      <c r="U208" s="1038"/>
      <c r="V208" s="1039"/>
    </row>
    <row r="209" spans="3:50" x14ac:dyDescent="0.3">
      <c r="C209"/>
      <c r="D209" s="778" t="s">
        <v>566</v>
      </c>
      <c r="E209" s="778" t="s">
        <v>567</v>
      </c>
      <c r="F209" s="795">
        <v>0.05</v>
      </c>
      <c r="G209" s="1037" t="s">
        <v>568</v>
      </c>
      <c r="H209" s="1038"/>
      <c r="I209" s="1038"/>
      <c r="J209" s="1038"/>
      <c r="K209" s="1038"/>
      <c r="L209" s="1038"/>
      <c r="M209" s="1038"/>
      <c r="N209" s="1038"/>
      <c r="O209" s="1038"/>
      <c r="P209" s="1038"/>
      <c r="Q209" s="1038"/>
      <c r="R209" s="1038"/>
      <c r="S209" s="1038"/>
      <c r="T209" s="1038"/>
      <c r="U209" s="1038"/>
      <c r="V209" s="1039"/>
    </row>
    <row r="210" spans="3:50" x14ac:dyDescent="0.3">
      <c r="C210"/>
      <c r="D210" s="778"/>
      <c r="E210" s="778" t="s">
        <v>569</v>
      </c>
      <c r="F210" s="778"/>
      <c r="G210" s="1037"/>
      <c r="H210" s="1038"/>
      <c r="I210" s="1038"/>
      <c r="J210" s="1038"/>
      <c r="K210" s="1038"/>
      <c r="L210" s="1038"/>
      <c r="M210" s="1038"/>
      <c r="N210" s="1038"/>
      <c r="O210" s="1038"/>
      <c r="P210" s="1038"/>
      <c r="Q210" s="1038"/>
      <c r="R210" s="1038"/>
      <c r="S210" s="1038"/>
      <c r="T210" s="1038"/>
      <c r="U210" s="1038"/>
      <c r="V210" s="1039"/>
    </row>
    <row r="211" spans="3:50" x14ac:dyDescent="0.3">
      <c r="C211"/>
      <c r="D211" s="778" t="s">
        <v>570</v>
      </c>
      <c r="E211" s="778" t="s">
        <v>564</v>
      </c>
      <c r="F211" s="795">
        <v>0.75</v>
      </c>
      <c r="G211" s="1037" t="s">
        <v>571</v>
      </c>
      <c r="H211" s="1038"/>
      <c r="I211" s="1038"/>
      <c r="J211" s="1038"/>
      <c r="K211" s="1038"/>
      <c r="L211" s="1038"/>
      <c r="M211" s="1038"/>
      <c r="N211" s="1038"/>
      <c r="O211" s="1038"/>
      <c r="P211" s="1038"/>
      <c r="Q211" s="1038"/>
      <c r="R211" s="1038"/>
      <c r="S211" s="1038"/>
      <c r="T211" s="1038"/>
      <c r="U211" s="1038"/>
      <c r="V211" s="1039"/>
    </row>
    <row r="212" spans="3:50" x14ac:dyDescent="0.3">
      <c r="C212"/>
      <c r="D212" s="778" t="s">
        <v>572</v>
      </c>
      <c r="E212" s="778" t="s">
        <v>561</v>
      </c>
      <c r="F212" s="795">
        <v>0.25</v>
      </c>
      <c r="G212" s="1037" t="s">
        <v>573</v>
      </c>
      <c r="H212" s="1038"/>
      <c r="I212" s="1038"/>
      <c r="J212" s="1038"/>
      <c r="K212" s="1038"/>
      <c r="L212" s="1038"/>
      <c r="M212" s="1038"/>
      <c r="N212" s="1038"/>
      <c r="O212" s="1038"/>
      <c r="P212" s="1038"/>
      <c r="Q212" s="1038"/>
      <c r="R212" s="1038"/>
      <c r="S212" s="1038"/>
      <c r="T212" s="1038"/>
      <c r="U212" s="1038"/>
      <c r="V212" s="1039"/>
    </row>
    <row r="213" spans="3:50" x14ac:dyDescent="0.3">
      <c r="C213"/>
    </row>
    <row r="214" spans="3:50" x14ac:dyDescent="0.3">
      <c r="C214"/>
    </row>
    <row r="215" spans="3:50" x14ac:dyDescent="0.3">
      <c r="C215" s="299"/>
    </row>
    <row r="216" spans="3:50" x14ac:dyDescent="0.3">
      <c r="C216" s="299"/>
    </row>
    <row r="217" spans="3:50" x14ac:dyDescent="0.3">
      <c r="C217" s="798"/>
      <c r="D217" s="798"/>
      <c r="E217" s="798"/>
      <c r="F217" s="798"/>
      <c r="G217" s="798"/>
      <c r="H217" s="798"/>
      <c r="I217" s="798"/>
      <c r="J217" s="798"/>
      <c r="K217" s="798"/>
      <c r="L217" s="798"/>
      <c r="M217" s="798"/>
      <c r="N217" s="798"/>
      <c r="O217" s="798"/>
      <c r="P217" s="798"/>
      <c r="Q217" s="798"/>
      <c r="R217" s="798"/>
      <c r="S217" s="798"/>
      <c r="T217" s="798"/>
      <c r="U217" s="798"/>
      <c r="V217" s="798"/>
      <c r="W217" s="798"/>
      <c r="X217" s="798"/>
      <c r="Y217" s="798"/>
      <c r="Z217" s="798"/>
      <c r="AA217" s="798"/>
      <c r="AB217" s="798"/>
      <c r="AC217" s="798"/>
      <c r="AD217" s="798"/>
      <c r="AE217" s="798"/>
      <c r="AF217" s="798"/>
      <c r="AG217" s="798"/>
      <c r="AH217" s="798"/>
      <c r="AI217" s="798"/>
      <c r="AJ217" s="798"/>
      <c r="AK217" s="798"/>
      <c r="AL217" s="798"/>
      <c r="AM217" s="798"/>
      <c r="AN217" s="798"/>
      <c r="AO217" s="798"/>
      <c r="AP217" s="798"/>
      <c r="AQ217" s="798"/>
      <c r="AR217" s="798"/>
      <c r="AS217" s="798"/>
      <c r="AT217" s="798"/>
      <c r="AU217" s="798"/>
      <c r="AV217" s="798"/>
      <c r="AW217" s="798"/>
      <c r="AX217" s="798"/>
    </row>
  </sheetData>
  <mergeCells count="39">
    <mergeCell ref="E77:AZ77"/>
    <mergeCell ref="C9:D9"/>
    <mergeCell ref="B35:S38"/>
    <mergeCell ref="B61:S64"/>
    <mergeCell ref="E69:AZ69"/>
    <mergeCell ref="E71:AZ71"/>
    <mergeCell ref="I148:J148"/>
    <mergeCell ref="E83:AZ83"/>
    <mergeCell ref="E89:AZ89"/>
    <mergeCell ref="H101:L101"/>
    <mergeCell ref="D118:G119"/>
    <mergeCell ref="D122:F123"/>
    <mergeCell ref="D126:E128"/>
    <mergeCell ref="D130:D132"/>
    <mergeCell ref="E130:G132"/>
    <mergeCell ref="D133:D136"/>
    <mergeCell ref="E133:G136"/>
    <mergeCell ref="I147:J147"/>
    <mergeCell ref="D191:K194"/>
    <mergeCell ref="I149:J149"/>
    <mergeCell ref="I150:J150"/>
    <mergeCell ref="I151:J151"/>
    <mergeCell ref="I152:J152"/>
    <mergeCell ref="D155:G156"/>
    <mergeCell ref="E159:F159"/>
    <mergeCell ref="E160:F160"/>
    <mergeCell ref="D163:D165"/>
    <mergeCell ref="E163:G165"/>
    <mergeCell ref="D173:F174"/>
    <mergeCell ref="D186:K189"/>
    <mergeCell ref="G210:V210"/>
    <mergeCell ref="G211:V211"/>
    <mergeCell ref="G212:V212"/>
    <mergeCell ref="D196:J199"/>
    <mergeCell ref="G205:V205"/>
    <mergeCell ref="G206:V206"/>
    <mergeCell ref="G207:V207"/>
    <mergeCell ref="G208:V208"/>
    <mergeCell ref="G209:V20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33"/>
  </sheetPr>
  <dimension ref="B2:R17"/>
  <sheetViews>
    <sheetView showGridLines="0" zoomScale="50" zoomScaleNormal="50" workbookViewId="0">
      <selection activeCell="C13" sqref="C13"/>
    </sheetView>
  </sheetViews>
  <sheetFormatPr defaultColWidth="9.109375" defaultRowHeight="14.4" x14ac:dyDescent="0.3"/>
  <cols>
    <col min="1" max="1" width="2.88671875" customWidth="1"/>
    <col min="2" max="2" width="3.5546875" customWidth="1"/>
    <col min="3" max="3" width="30.109375" style="2" customWidth="1"/>
    <col min="4" max="7" width="10" customWidth="1"/>
    <col min="8" max="12" width="10.44140625" bestFit="1" customWidth="1"/>
    <col min="13" max="13" width="8.44140625" customWidth="1"/>
    <col min="14" max="15" width="10.88671875" customWidth="1"/>
    <col min="17" max="18" width="8.88671875" customWidth="1"/>
  </cols>
  <sheetData>
    <row r="2" spans="2:18" ht="24" thickBot="1" x14ac:dyDescent="0.5">
      <c r="B2" s="3" t="s">
        <v>15</v>
      </c>
      <c r="C2" s="3"/>
    </row>
    <row r="4" spans="2:18" ht="18.600000000000001" customHeight="1" x14ac:dyDescent="0.3">
      <c r="B4" s="166"/>
      <c r="C4" s="167"/>
      <c r="D4" s="167"/>
      <c r="E4" s="167"/>
      <c r="F4" s="167"/>
      <c r="G4" s="167"/>
      <c r="H4" s="167"/>
      <c r="I4" s="167"/>
      <c r="J4" s="167"/>
      <c r="K4" s="167"/>
      <c r="L4" s="167"/>
      <c r="M4" s="167"/>
      <c r="N4" s="167"/>
      <c r="O4" s="167"/>
      <c r="P4" s="167"/>
      <c r="Q4" s="167"/>
      <c r="R4" s="167"/>
    </row>
    <row r="5" spans="2:18" x14ac:dyDescent="0.3">
      <c r="B5" s="168"/>
      <c r="C5" s="167"/>
      <c r="D5" s="167"/>
      <c r="E5" s="167"/>
      <c r="F5" s="167"/>
      <c r="G5" s="167"/>
      <c r="H5" s="167"/>
      <c r="I5" s="167"/>
      <c r="J5" s="167"/>
      <c r="K5" s="167"/>
      <c r="L5" s="167"/>
      <c r="M5" s="167"/>
      <c r="N5" s="167"/>
      <c r="O5" s="167"/>
      <c r="P5" s="167"/>
      <c r="Q5" s="167"/>
      <c r="R5" s="167"/>
    </row>
    <row r="6" spans="2:18" ht="15" thickBot="1" x14ac:dyDescent="0.35"/>
    <row r="7" spans="2:18" ht="14.4" customHeight="1" thickBot="1" x14ac:dyDescent="0.35">
      <c r="B7" s="92"/>
      <c r="C7" s="255"/>
      <c r="D7" s="1029" t="s">
        <v>574</v>
      </c>
      <c r="E7" s="1030"/>
      <c r="F7" s="1030"/>
      <c r="G7" s="1030"/>
      <c r="H7" s="1030"/>
      <c r="I7" s="1030"/>
      <c r="J7" s="1030"/>
      <c r="K7" s="1030"/>
      <c r="L7" s="1030"/>
      <c r="M7" s="1030"/>
      <c r="N7" s="1030"/>
      <c r="O7" s="1030"/>
      <c r="P7" s="1030"/>
      <c r="Q7" s="1031"/>
    </row>
    <row r="8" spans="2:18" ht="15.6" customHeight="1" thickBot="1" x14ac:dyDescent="0.35">
      <c r="C8"/>
      <c r="D8" s="97">
        <v>2021</v>
      </c>
      <c r="E8" s="98">
        <v>2022</v>
      </c>
      <c r="F8" s="98">
        <v>2023</v>
      </c>
      <c r="G8" s="98">
        <v>2024</v>
      </c>
      <c r="H8" s="98">
        <v>2025</v>
      </c>
      <c r="I8" s="98">
        <v>2026</v>
      </c>
      <c r="J8" s="98">
        <v>2027</v>
      </c>
      <c r="K8" s="98">
        <v>2028</v>
      </c>
      <c r="L8" s="98">
        <v>2029</v>
      </c>
      <c r="M8" s="98">
        <v>2030</v>
      </c>
      <c r="N8" s="98">
        <v>2031</v>
      </c>
      <c r="O8" s="98">
        <v>2032</v>
      </c>
      <c r="P8" s="98">
        <v>2033</v>
      </c>
      <c r="Q8" s="99">
        <v>2034</v>
      </c>
    </row>
    <row r="9" spans="2:18" ht="15" thickBot="1" x14ac:dyDescent="0.35">
      <c r="B9" s="92"/>
      <c r="C9" s="128" t="s">
        <v>575</v>
      </c>
      <c r="D9" s="271">
        <f>D10+D12</f>
        <v>0</v>
      </c>
      <c r="E9" s="127">
        <v>0</v>
      </c>
      <c r="F9" s="126">
        <v>0</v>
      </c>
      <c r="G9" s="126">
        <v>0</v>
      </c>
      <c r="H9" s="126">
        <v>75</v>
      </c>
      <c r="I9" s="126">
        <v>150</v>
      </c>
      <c r="J9" s="126">
        <v>224</v>
      </c>
      <c r="K9" s="126">
        <v>298</v>
      </c>
      <c r="L9" s="126">
        <v>373</v>
      </c>
      <c r="M9" s="126">
        <v>447</v>
      </c>
      <c r="N9" s="126">
        <v>521</v>
      </c>
      <c r="O9" s="126">
        <v>595</v>
      </c>
      <c r="P9" s="126">
        <v>669</v>
      </c>
      <c r="Q9" s="272">
        <v>743</v>
      </c>
    </row>
    <row r="12" spans="2:18" x14ac:dyDescent="0.3">
      <c r="C12" s="13" t="s">
        <v>576</v>
      </c>
    </row>
    <row r="13" spans="2:18" x14ac:dyDescent="0.3">
      <c r="C13" s="397" t="s">
        <v>577</v>
      </c>
    </row>
    <row r="14" spans="2:18" x14ac:dyDescent="0.3">
      <c r="C14" s="13" t="s">
        <v>578</v>
      </c>
    </row>
    <row r="15" spans="2:18" x14ac:dyDescent="0.3">
      <c r="C15" s="397" t="s">
        <v>579</v>
      </c>
    </row>
    <row r="16" spans="2:18" x14ac:dyDescent="0.3">
      <c r="C16" s="13" t="s">
        <v>580</v>
      </c>
    </row>
    <row r="17" spans="3:3" x14ac:dyDescent="0.3">
      <c r="C17" s="397" t="s">
        <v>581</v>
      </c>
    </row>
  </sheetData>
  <mergeCells count="1">
    <mergeCell ref="D7:Q7"/>
  </mergeCells>
  <hyperlinks>
    <hyperlink ref="C13" r:id="rId1"/>
    <hyperlink ref="C15" r:id="rId2"/>
    <hyperlink ref="C17" r:id="rId3"/>
  </hyperlinks>
  <pageMargins left="0.7" right="0.7" top="0.75" bottom="0.75" header="0.3" footer="0.3"/>
  <pageSetup paperSize="9" orientation="portrait" verticalDpi="0"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99"/>
  </sheetPr>
  <dimension ref="B2:AB86"/>
  <sheetViews>
    <sheetView showGridLines="0" zoomScale="80" zoomScaleNormal="80" workbookViewId="0"/>
  </sheetViews>
  <sheetFormatPr defaultColWidth="8.88671875" defaultRowHeight="14.4" x14ac:dyDescent="0.3"/>
  <cols>
    <col min="1" max="1" width="2.88671875" customWidth="1"/>
    <col min="2" max="2" width="46.5546875" bestFit="1" customWidth="1"/>
    <col min="3" max="3" width="8.44140625" style="2" bestFit="1" customWidth="1"/>
    <col min="4" max="6" width="10" customWidth="1"/>
    <col min="16" max="18" width="30.109375" customWidth="1"/>
    <col min="19" max="19" width="21.5546875" customWidth="1"/>
    <col min="20" max="21" width="27.5546875" customWidth="1"/>
    <col min="22" max="22" width="60.44140625" customWidth="1"/>
  </cols>
  <sheetData>
    <row r="2" spans="2:24" ht="24" thickBot="1" x14ac:dyDescent="0.5">
      <c r="B2" s="3" t="s">
        <v>582</v>
      </c>
    </row>
    <row r="4" spans="2:24" ht="15" customHeight="1" x14ac:dyDescent="0.3"/>
    <row r="5" spans="2:24" ht="15" customHeight="1" x14ac:dyDescent="0.3">
      <c r="B5" s="8" t="s">
        <v>583</v>
      </c>
      <c r="C5" s="13"/>
    </row>
    <row r="6" spans="2:24" ht="15" customHeight="1" x14ac:dyDescent="0.3"/>
    <row r="7" spans="2:24" ht="15" customHeight="1" x14ac:dyDescent="0.3">
      <c r="B7" s="139"/>
    </row>
    <row r="8" spans="2:24" ht="15" customHeight="1" x14ac:dyDescent="0.3">
      <c r="C8"/>
    </row>
    <row r="9" spans="2:24" ht="26.4" customHeight="1" x14ac:dyDescent="0.3">
      <c r="B9" s="1066" t="s">
        <v>584</v>
      </c>
      <c r="C9" s="1066"/>
      <c r="D9" s="1066"/>
      <c r="E9" s="1066"/>
      <c r="F9" s="1066"/>
      <c r="G9" s="1066"/>
      <c r="H9" s="1066"/>
      <c r="I9" s="1066"/>
      <c r="J9" s="1066"/>
      <c r="K9" s="1066"/>
      <c r="L9" s="1066"/>
      <c r="M9" s="1066"/>
      <c r="N9" s="1066"/>
      <c r="O9" s="1066"/>
      <c r="P9" s="1066"/>
      <c r="Q9" s="1066"/>
      <c r="R9" s="1066"/>
      <c r="S9" s="1066"/>
      <c r="T9" s="1066"/>
      <c r="U9" s="1066"/>
      <c r="V9" s="1066"/>
      <c r="W9" s="1066"/>
      <c r="X9" s="1066"/>
    </row>
    <row r="10" spans="2:24" ht="26.4" customHeight="1" x14ac:dyDescent="0.3">
      <c r="B10" s="1066"/>
      <c r="C10" s="1066"/>
      <c r="D10" s="1066"/>
      <c r="E10" s="1066"/>
      <c r="F10" s="1066"/>
      <c r="G10" s="1066"/>
      <c r="H10" s="1066"/>
      <c r="I10" s="1066"/>
      <c r="J10" s="1066"/>
      <c r="K10" s="1066"/>
      <c r="L10" s="1066"/>
      <c r="M10" s="1066"/>
      <c r="N10" s="1066"/>
      <c r="O10" s="1066"/>
      <c r="P10" s="1066"/>
      <c r="Q10" s="1066"/>
      <c r="R10" s="1066"/>
      <c r="S10" s="1066"/>
      <c r="T10" s="1066"/>
      <c r="U10" s="1066"/>
      <c r="V10" s="1066"/>
      <c r="W10" s="1066"/>
      <c r="X10" s="1066"/>
    </row>
    <row r="11" spans="2:24" ht="26.4" customHeight="1" x14ac:dyDescent="0.3">
      <c r="B11" s="1066"/>
      <c r="C11" s="1066"/>
      <c r="D11" s="1066"/>
      <c r="E11" s="1066"/>
      <c r="F11" s="1066"/>
      <c r="G11" s="1066"/>
      <c r="H11" s="1066"/>
      <c r="I11" s="1066"/>
      <c r="J11" s="1066"/>
      <c r="K11" s="1066"/>
      <c r="L11" s="1066"/>
      <c r="M11" s="1066"/>
      <c r="N11" s="1066"/>
      <c r="O11" s="1066"/>
      <c r="P11" s="1066"/>
      <c r="Q11" s="1066"/>
      <c r="R11" s="1066"/>
      <c r="S11" s="1066"/>
      <c r="T11" s="1066"/>
      <c r="U11" s="1066"/>
      <c r="V11" s="1066"/>
      <c r="W11" s="1066"/>
      <c r="X11" s="1066"/>
    </row>
    <row r="12" spans="2:24" ht="26.4" customHeight="1" x14ac:dyDescent="0.3">
      <c r="B12" s="1066"/>
      <c r="C12" s="1066"/>
      <c r="D12" s="1066"/>
      <c r="E12" s="1066"/>
      <c r="F12" s="1066"/>
      <c r="G12" s="1066"/>
      <c r="H12" s="1066"/>
      <c r="I12" s="1066"/>
      <c r="J12" s="1066"/>
      <c r="K12" s="1066"/>
      <c r="L12" s="1066"/>
      <c r="M12" s="1066"/>
      <c r="N12" s="1066"/>
      <c r="O12" s="1066"/>
      <c r="P12" s="1066"/>
      <c r="Q12" s="1066"/>
      <c r="R12" s="1066"/>
      <c r="S12" s="1066"/>
      <c r="T12" s="1066"/>
      <c r="U12" s="1066"/>
      <c r="V12" s="1066"/>
      <c r="W12" s="1066"/>
      <c r="X12" s="1066"/>
    </row>
    <row r="13" spans="2:24" ht="26.4" customHeight="1" x14ac:dyDescent="0.3">
      <c r="B13" s="1066"/>
      <c r="C13" s="1066"/>
      <c r="D13" s="1066"/>
      <c r="E13" s="1066"/>
      <c r="F13" s="1066"/>
      <c r="G13" s="1066"/>
      <c r="H13" s="1066"/>
      <c r="I13" s="1066"/>
      <c r="J13" s="1066"/>
      <c r="K13" s="1066"/>
      <c r="L13" s="1066"/>
      <c r="M13" s="1066"/>
      <c r="N13" s="1066"/>
      <c r="O13" s="1066"/>
      <c r="P13" s="1066"/>
      <c r="Q13" s="1066"/>
      <c r="R13" s="1066"/>
      <c r="S13" s="1066"/>
      <c r="T13" s="1066"/>
      <c r="U13" s="1066"/>
      <c r="V13" s="1066"/>
      <c r="W13" s="1066"/>
      <c r="X13" s="1066"/>
    </row>
    <row r="14" spans="2:24" ht="72.75" customHeight="1" x14ac:dyDescent="0.3">
      <c r="B14" s="1066"/>
      <c r="C14" s="1066"/>
      <c r="D14" s="1066"/>
      <c r="E14" s="1066"/>
      <c r="F14" s="1066"/>
      <c r="G14" s="1066"/>
      <c r="H14" s="1066"/>
      <c r="I14" s="1066"/>
      <c r="J14" s="1066"/>
      <c r="K14" s="1066"/>
      <c r="L14" s="1066"/>
      <c r="M14" s="1066"/>
      <c r="N14" s="1066"/>
      <c r="O14" s="1066"/>
      <c r="P14" s="1066"/>
      <c r="Q14" s="1066"/>
      <c r="R14" s="1066"/>
      <c r="S14" s="1066"/>
      <c r="T14" s="1066"/>
      <c r="U14" s="1066"/>
      <c r="V14" s="1066"/>
      <c r="W14" s="1066"/>
      <c r="X14" s="1066"/>
    </row>
    <row r="15" spans="2:24" ht="15" customHeight="1" x14ac:dyDescent="0.3"/>
    <row r="16" spans="2:24" ht="15" customHeight="1" x14ac:dyDescent="0.3"/>
    <row r="17" spans="2:23" ht="15" customHeight="1" thickBot="1" x14ac:dyDescent="0.35">
      <c r="C17"/>
    </row>
    <row r="18" spans="2:23" ht="15" customHeight="1" thickBot="1" x14ac:dyDescent="0.35">
      <c r="B18" s="141" t="s">
        <v>585</v>
      </c>
      <c r="C18" s="987" t="s">
        <v>586</v>
      </c>
      <c r="D18" s="988"/>
      <c r="E18" s="988"/>
      <c r="F18" s="988"/>
      <c r="G18" s="988"/>
      <c r="H18" s="988"/>
      <c r="I18" s="988"/>
      <c r="J18" s="988"/>
      <c r="K18" s="988"/>
      <c r="L18" s="988"/>
      <c r="M18" s="988"/>
      <c r="N18" s="988"/>
      <c r="O18" s="989"/>
      <c r="P18" s="987" t="s">
        <v>28</v>
      </c>
      <c r="Q18" s="988"/>
      <c r="R18" s="989"/>
      <c r="S18" s="1067" t="s">
        <v>587</v>
      </c>
      <c r="T18" s="987" t="s">
        <v>46</v>
      </c>
      <c r="U18" s="988"/>
      <c r="V18" s="989"/>
    </row>
    <row r="19" spans="2:23" ht="15" customHeight="1" thickBot="1" x14ac:dyDescent="0.35">
      <c r="B19" s="141"/>
      <c r="C19" s="710">
        <v>2022</v>
      </c>
      <c r="D19" s="140">
        <v>2023</v>
      </c>
      <c r="E19" s="140">
        <v>2024</v>
      </c>
      <c r="F19" s="140">
        <v>2025</v>
      </c>
      <c r="G19" s="140">
        <v>2026</v>
      </c>
      <c r="H19" s="140">
        <v>2027</v>
      </c>
      <c r="I19" s="140">
        <v>2028</v>
      </c>
      <c r="J19" s="140">
        <v>2029</v>
      </c>
      <c r="K19" s="140">
        <v>2030</v>
      </c>
      <c r="L19" s="140">
        <v>2031</v>
      </c>
      <c r="M19" s="140">
        <v>2032</v>
      </c>
      <c r="N19" s="140">
        <v>2033</v>
      </c>
      <c r="O19" s="711">
        <v>2034</v>
      </c>
      <c r="P19" s="176" t="s">
        <v>588</v>
      </c>
      <c r="Q19" s="177" t="s">
        <v>589</v>
      </c>
      <c r="R19" s="178" t="s">
        <v>590</v>
      </c>
      <c r="S19" s="1068"/>
      <c r="T19" s="710" t="s">
        <v>591</v>
      </c>
      <c r="U19" s="140" t="s">
        <v>592</v>
      </c>
      <c r="V19" s="711" t="s">
        <v>593</v>
      </c>
    </row>
    <row r="20" spans="2:23" ht="15" customHeight="1" x14ac:dyDescent="0.3">
      <c r="B20" s="89" t="s">
        <v>594</v>
      </c>
      <c r="C20" s="712">
        <v>147.22916666666666</v>
      </c>
      <c r="D20" s="713">
        <v>137.55000000000001</v>
      </c>
      <c r="E20" s="713">
        <v>103.23</v>
      </c>
      <c r="F20" s="713">
        <v>72.150000000000006</v>
      </c>
      <c r="G20" s="137">
        <v>62.701472003275676</v>
      </c>
      <c r="H20" s="137">
        <v>53.252944006551338</v>
      </c>
      <c r="I20" s="137">
        <v>43.804416009827001</v>
      </c>
      <c r="J20" s="137">
        <v>34.355888013102664</v>
      </c>
      <c r="K20" s="813">
        <v>24.907360016378341</v>
      </c>
      <c r="L20" s="137">
        <v>24.667144368239672</v>
      </c>
      <c r="M20" s="137">
        <v>24.426928720101003</v>
      </c>
      <c r="N20" s="137">
        <v>24.186713071962334</v>
      </c>
      <c r="O20" s="714">
        <v>23.946497423823665</v>
      </c>
      <c r="P20" s="715" t="s">
        <v>595</v>
      </c>
      <c r="Q20" s="292" t="s">
        <v>595</v>
      </c>
      <c r="R20" s="716" t="s">
        <v>596</v>
      </c>
      <c r="S20" s="6" t="s">
        <v>597</v>
      </c>
      <c r="T20" s="717"/>
      <c r="U20" s="718" t="s">
        <v>598</v>
      </c>
      <c r="V20" s="719" t="s">
        <v>599</v>
      </c>
      <c r="W20" s="19"/>
    </row>
    <row r="21" spans="2:23" ht="15" customHeight="1" x14ac:dyDescent="0.3">
      <c r="B21" s="90" t="s">
        <v>600</v>
      </c>
      <c r="C21" s="720">
        <v>103.31815419140678</v>
      </c>
      <c r="D21" s="721">
        <v>130.70386647342087</v>
      </c>
      <c r="E21" s="721">
        <v>105.07461779419326</v>
      </c>
      <c r="F21" s="721">
        <v>76.663565384075909</v>
      </c>
      <c r="G21" s="114">
        <v>67.215037387351572</v>
      </c>
      <c r="H21" s="114">
        <v>57.766509390627235</v>
      </c>
      <c r="I21" s="114">
        <v>48.317981393902905</v>
      </c>
      <c r="J21" s="114">
        <v>38.869453397178567</v>
      </c>
      <c r="K21" s="814">
        <v>24.907360016378341</v>
      </c>
      <c r="L21" s="114">
        <v>24.667144368239672</v>
      </c>
      <c r="M21" s="114">
        <v>24.426928720101003</v>
      </c>
      <c r="N21" s="114">
        <v>24.186713071962334</v>
      </c>
      <c r="O21" s="722">
        <v>23.946497423823665</v>
      </c>
      <c r="P21" s="715" t="s">
        <v>601</v>
      </c>
      <c r="Q21" s="292" t="s">
        <v>601</v>
      </c>
      <c r="R21" s="716" t="s">
        <v>596</v>
      </c>
      <c r="S21" s="6" t="s">
        <v>602</v>
      </c>
      <c r="T21" s="293"/>
      <c r="U21" t="s">
        <v>598</v>
      </c>
      <c r="V21" s="26" t="s">
        <v>599</v>
      </c>
      <c r="W21" s="19"/>
    </row>
    <row r="22" spans="2:23" ht="15" customHeight="1" x14ac:dyDescent="0.3">
      <c r="B22" s="90" t="s">
        <v>603</v>
      </c>
      <c r="C22" s="720">
        <v>36.257760000000005</v>
      </c>
      <c r="D22" s="721">
        <v>27.987623999999997</v>
      </c>
      <c r="E22" s="721">
        <v>26.509896000000005</v>
      </c>
      <c r="F22" s="721">
        <v>25.096176</v>
      </c>
      <c r="G22" s="114">
        <v>21.7268352</v>
      </c>
      <c r="H22" s="114">
        <v>18.3574944</v>
      </c>
      <c r="I22" s="114">
        <v>14.988153599999999</v>
      </c>
      <c r="J22" s="114">
        <v>11.618812799999999</v>
      </c>
      <c r="K22" s="814">
        <v>8.2494720000000008</v>
      </c>
      <c r="L22" s="114">
        <v>8.1924480000000006</v>
      </c>
      <c r="M22" s="114">
        <v>8.1354240000000004</v>
      </c>
      <c r="N22" s="114">
        <v>8.0784000000000002</v>
      </c>
      <c r="O22" s="722">
        <v>8.0213760000000001</v>
      </c>
      <c r="P22" s="715" t="s">
        <v>604</v>
      </c>
      <c r="Q22" s="292" t="s">
        <v>604</v>
      </c>
      <c r="R22" s="716" t="s">
        <v>596</v>
      </c>
      <c r="S22" s="6" t="s">
        <v>277</v>
      </c>
      <c r="T22" s="293"/>
      <c r="U22" t="s">
        <v>598</v>
      </c>
      <c r="V22" s="26" t="s">
        <v>599</v>
      </c>
      <c r="W22" s="19"/>
    </row>
    <row r="23" spans="2:23" ht="15" customHeight="1" x14ac:dyDescent="0.3">
      <c r="B23" s="90" t="s">
        <v>605</v>
      </c>
      <c r="C23" s="720">
        <v>55.100449689600005</v>
      </c>
      <c r="D23" s="721">
        <v>51.586619033600002</v>
      </c>
      <c r="E23" s="721">
        <v>46.9366585856</v>
      </c>
      <c r="F23" s="721">
        <v>44.208892672000005</v>
      </c>
      <c r="G23" s="114">
        <v>40.348586140875668</v>
      </c>
      <c r="H23" s="114">
        <v>36.488279609751331</v>
      </c>
      <c r="I23" s="114">
        <v>32.627973078627001</v>
      </c>
      <c r="J23" s="114">
        <v>28.767666547502664</v>
      </c>
      <c r="K23" s="814">
        <v>24.907360016378341</v>
      </c>
      <c r="L23" s="114">
        <v>24.667144368239672</v>
      </c>
      <c r="M23" s="114">
        <v>24.426928720101003</v>
      </c>
      <c r="N23" s="114">
        <v>24.186713071962334</v>
      </c>
      <c r="O23" s="722">
        <v>23.946497423823665</v>
      </c>
      <c r="P23" s="715" t="s">
        <v>606</v>
      </c>
      <c r="Q23" s="292" t="s">
        <v>606</v>
      </c>
      <c r="R23" s="716" t="s">
        <v>596</v>
      </c>
      <c r="S23" s="6" t="s">
        <v>277</v>
      </c>
      <c r="T23" s="293"/>
      <c r="U23" t="s">
        <v>598</v>
      </c>
      <c r="V23" s="26" t="s">
        <v>599</v>
      </c>
      <c r="W23" s="19"/>
    </row>
    <row r="24" spans="2:23" ht="15" customHeight="1" x14ac:dyDescent="0.3">
      <c r="B24" s="90" t="s">
        <v>607</v>
      </c>
      <c r="C24" s="720">
        <v>75</v>
      </c>
      <c r="D24" s="721">
        <v>78.7</v>
      </c>
      <c r="E24" s="721">
        <v>83</v>
      </c>
      <c r="F24" s="721">
        <v>89.04</v>
      </c>
      <c r="G24" s="114">
        <v>96.18</v>
      </c>
      <c r="H24" s="114">
        <v>103.32000000000001</v>
      </c>
      <c r="I24" s="114">
        <v>110.46000000000001</v>
      </c>
      <c r="J24" s="114">
        <v>117.60000000000001</v>
      </c>
      <c r="K24" s="814">
        <v>124.74</v>
      </c>
      <c r="L24" s="114">
        <v>128.1</v>
      </c>
      <c r="M24" s="114">
        <v>131.45999999999998</v>
      </c>
      <c r="N24" s="114">
        <v>134.81999999999996</v>
      </c>
      <c r="O24" s="722">
        <v>138.17999999999998</v>
      </c>
      <c r="P24" s="715" t="s">
        <v>608</v>
      </c>
      <c r="Q24" s="292" t="s">
        <v>609</v>
      </c>
      <c r="R24" s="716" t="s">
        <v>596</v>
      </c>
      <c r="S24" s="6" t="s">
        <v>597</v>
      </c>
      <c r="T24" s="293"/>
      <c r="V24" s="26" t="s">
        <v>599</v>
      </c>
      <c r="W24" s="19"/>
    </row>
    <row r="25" spans="2:23" ht="15" customHeight="1" thickBot="1" x14ac:dyDescent="0.35">
      <c r="B25" s="36" t="s">
        <v>610</v>
      </c>
      <c r="C25" s="723">
        <v>80</v>
      </c>
      <c r="D25" s="138">
        <f t="shared" ref="D25:J25" si="0">($K$25-$C$25)/8+C25</f>
        <v>85.592500000000001</v>
      </c>
      <c r="E25" s="138">
        <f t="shared" si="0"/>
        <v>91.185000000000002</v>
      </c>
      <c r="F25" s="138">
        <f t="shared" si="0"/>
        <v>96.777500000000003</v>
      </c>
      <c r="G25" s="138">
        <f>($K$25-$C$25)/8+F25</f>
        <v>102.37</v>
      </c>
      <c r="H25" s="138">
        <f t="shared" si="0"/>
        <v>107.96250000000001</v>
      </c>
      <c r="I25" s="138">
        <f t="shared" si="0"/>
        <v>113.55500000000001</v>
      </c>
      <c r="J25" s="138">
        <f t="shared" si="0"/>
        <v>119.14750000000001</v>
      </c>
      <c r="K25" s="815">
        <v>124.74</v>
      </c>
      <c r="L25" s="138">
        <v>128.1</v>
      </c>
      <c r="M25" s="138">
        <v>131.45999999999998</v>
      </c>
      <c r="N25" s="138">
        <v>134.81999999999996</v>
      </c>
      <c r="O25" s="724">
        <v>138.17999999999998</v>
      </c>
      <c r="P25" s="725" t="s">
        <v>611</v>
      </c>
      <c r="Q25" s="295"/>
      <c r="R25" s="726" t="s">
        <v>596</v>
      </c>
      <c r="S25" s="7" t="s">
        <v>602</v>
      </c>
      <c r="T25" s="294"/>
      <c r="U25" s="9"/>
      <c r="V25" s="28" t="s">
        <v>599</v>
      </c>
      <c r="W25" s="19"/>
    </row>
    <row r="26" spans="2:23" ht="15" customHeight="1" thickBot="1" x14ac:dyDescent="0.35"/>
    <row r="27" spans="2:23" ht="15" customHeight="1" x14ac:dyDescent="0.3">
      <c r="B27" s="727" t="s">
        <v>612</v>
      </c>
      <c r="D27" s="727" t="s">
        <v>613</v>
      </c>
      <c r="E27" s="718"/>
      <c r="F27" s="718"/>
      <c r="G27" s="718"/>
      <c r="H27" s="718"/>
      <c r="I27" s="718"/>
      <c r="J27" s="718"/>
      <c r="K27" s="718"/>
      <c r="L27" s="718"/>
      <c r="M27" s="718"/>
      <c r="N27" s="718"/>
      <c r="O27" s="718"/>
      <c r="P27" s="718"/>
      <c r="Q27" s="718"/>
      <c r="R27" s="719"/>
    </row>
    <row r="28" spans="2:23" ht="15" customHeight="1" x14ac:dyDescent="0.3">
      <c r="B28" s="728" t="s">
        <v>588</v>
      </c>
      <c r="D28" s="6"/>
      <c r="R28" s="26"/>
    </row>
    <row r="29" spans="2:23" ht="15" customHeight="1" x14ac:dyDescent="0.4">
      <c r="B29" s="729" t="s">
        <v>614</v>
      </c>
      <c r="D29" s="6"/>
      <c r="E29" s="730" t="s">
        <v>615</v>
      </c>
      <c r="R29" s="26"/>
    </row>
    <row r="30" spans="2:23" ht="15" customHeight="1" x14ac:dyDescent="0.3">
      <c r="B30" s="816" t="s">
        <v>616</v>
      </c>
      <c r="D30" s="6"/>
      <c r="R30" s="26"/>
    </row>
    <row r="31" spans="2:23" ht="15" customHeight="1" thickBot="1" x14ac:dyDescent="0.35">
      <c r="B31" s="347" t="s">
        <v>617</v>
      </c>
      <c r="D31" s="6"/>
      <c r="R31" s="26"/>
    </row>
    <row r="32" spans="2:23" ht="15" customHeight="1" x14ac:dyDescent="0.4">
      <c r="D32" s="6"/>
      <c r="E32" s="730" t="s">
        <v>618</v>
      </c>
      <c r="R32" s="26"/>
    </row>
    <row r="33" spans="3:28" ht="15" customHeight="1" x14ac:dyDescent="0.3">
      <c r="D33" s="6"/>
      <c r="R33" s="26"/>
      <c r="AB33" s="2"/>
    </row>
    <row r="34" spans="3:28" ht="15" customHeight="1" x14ac:dyDescent="0.3">
      <c r="D34" s="6"/>
      <c r="R34" s="26"/>
      <c r="AB34" s="2"/>
    </row>
    <row r="35" spans="3:28" ht="15" customHeight="1" x14ac:dyDescent="0.4">
      <c r="D35" s="6"/>
      <c r="E35" s="730" t="s">
        <v>619</v>
      </c>
      <c r="R35" s="26"/>
      <c r="AB35" s="2"/>
    </row>
    <row r="36" spans="3:28" ht="15" customHeight="1" x14ac:dyDescent="0.3">
      <c r="D36" s="6"/>
      <c r="R36" s="26"/>
      <c r="AB36" s="2"/>
    </row>
    <row r="37" spans="3:28" ht="15" customHeight="1" thickBot="1" x14ac:dyDescent="0.35">
      <c r="D37" s="7"/>
      <c r="E37" s="9"/>
      <c r="F37" s="9"/>
      <c r="G37" s="9"/>
      <c r="H37" s="9"/>
      <c r="I37" s="9"/>
      <c r="J37" s="9"/>
      <c r="K37" s="9"/>
      <c r="L37" s="9"/>
      <c r="M37" s="9"/>
      <c r="N37" s="9"/>
      <c r="O37" s="9"/>
      <c r="P37" s="9"/>
      <c r="Q37" s="9"/>
      <c r="R37" s="28"/>
      <c r="AB37" s="2"/>
    </row>
    <row r="38" spans="3:28" ht="15" customHeight="1" x14ac:dyDescent="0.3">
      <c r="AB38" s="2"/>
    </row>
    <row r="39" spans="3:28" ht="15" customHeight="1" x14ac:dyDescent="0.3">
      <c r="AB39" s="2"/>
    </row>
    <row r="40" spans="3:28" ht="15" customHeight="1" x14ac:dyDescent="0.3">
      <c r="C40" s="2" t="s">
        <v>620</v>
      </c>
      <c r="AB40" s="2"/>
    </row>
    <row r="41" spans="3:28" ht="15" customHeight="1" x14ac:dyDescent="0.3">
      <c r="AB41" s="2"/>
    </row>
    <row r="42" spans="3:28" ht="15" customHeight="1" x14ac:dyDescent="0.3">
      <c r="AB42" s="2"/>
    </row>
    <row r="43" spans="3:28" ht="15" customHeight="1" x14ac:dyDescent="0.3">
      <c r="AB43" s="2"/>
    </row>
    <row r="44" spans="3:28" ht="15" customHeight="1" x14ac:dyDescent="0.3">
      <c r="AB44" s="2"/>
    </row>
    <row r="45" spans="3:28" ht="15" customHeight="1" x14ac:dyDescent="0.3">
      <c r="AB45" s="2"/>
    </row>
    <row r="46" spans="3:28" ht="15" customHeight="1" x14ac:dyDescent="0.3">
      <c r="AB46" s="2"/>
    </row>
    <row r="47" spans="3:28" ht="15" customHeight="1" x14ac:dyDescent="0.3">
      <c r="AB47" s="2"/>
    </row>
    <row r="48" spans="3:28" ht="15" customHeight="1" x14ac:dyDescent="0.3">
      <c r="AB48" s="2"/>
    </row>
    <row r="49" spans="3:28" ht="15" customHeight="1" x14ac:dyDescent="0.3">
      <c r="AB49" s="2"/>
    </row>
    <row r="50" spans="3:28" ht="15" customHeight="1" x14ac:dyDescent="0.3">
      <c r="AB50" s="2"/>
    </row>
    <row r="51" spans="3:28" ht="15" customHeight="1" x14ac:dyDescent="0.3">
      <c r="AB51" s="2"/>
    </row>
    <row r="52" spans="3:28" ht="15" customHeight="1" x14ac:dyDescent="0.3">
      <c r="AB52" s="2"/>
    </row>
    <row r="53" spans="3:28" ht="15" customHeight="1" x14ac:dyDescent="0.3">
      <c r="AB53" s="2"/>
    </row>
    <row r="54" spans="3:28" ht="15" customHeight="1" x14ac:dyDescent="0.3">
      <c r="AB54" s="2"/>
    </row>
    <row r="55" spans="3:28" ht="15" customHeight="1" x14ac:dyDescent="0.3">
      <c r="AB55" s="2"/>
    </row>
    <row r="56" spans="3:28" ht="15" customHeight="1" x14ac:dyDescent="0.3">
      <c r="AB56" s="2"/>
    </row>
    <row r="57" spans="3:28" ht="15" customHeight="1" x14ac:dyDescent="0.4">
      <c r="D57" s="306"/>
      <c r="E57" s="306"/>
      <c r="F57" s="306"/>
      <c r="AB57" s="2"/>
    </row>
    <row r="58" spans="3:28" ht="15" customHeight="1" x14ac:dyDescent="0.4">
      <c r="D58" s="306"/>
      <c r="E58" s="306"/>
      <c r="F58" s="306"/>
      <c r="AB58" s="2"/>
    </row>
    <row r="59" spans="3:28" ht="15" customHeight="1" x14ac:dyDescent="0.4">
      <c r="D59" s="306"/>
      <c r="E59" s="306"/>
      <c r="F59" s="306"/>
      <c r="AB59" s="2"/>
    </row>
    <row r="60" spans="3:28" ht="15" customHeight="1" x14ac:dyDescent="0.4">
      <c r="D60" s="306"/>
      <c r="E60" s="306"/>
      <c r="F60" s="306"/>
      <c r="AB60" s="2"/>
    </row>
    <row r="61" spans="3:28" ht="15" customHeight="1" x14ac:dyDescent="0.4">
      <c r="C61" s="415"/>
      <c r="D61" s="306"/>
      <c r="E61" s="306"/>
      <c r="F61" s="306"/>
      <c r="AB61" s="2"/>
    </row>
    <row r="62" spans="3:28" ht="15" customHeight="1" x14ac:dyDescent="0.4">
      <c r="H62" s="415"/>
      <c r="AB62" s="2"/>
    </row>
    <row r="63" spans="3:28" ht="15" customHeight="1" x14ac:dyDescent="0.4">
      <c r="H63" s="415"/>
      <c r="AB63" s="2"/>
    </row>
    <row r="64" spans="3:28" ht="15" customHeight="1" x14ac:dyDescent="0.3">
      <c r="AB64" s="2"/>
    </row>
    <row r="65" spans="28:28" ht="15" customHeight="1" x14ac:dyDescent="0.3">
      <c r="AB65" s="2"/>
    </row>
    <row r="66" spans="28:28" ht="15" customHeight="1" x14ac:dyDescent="0.3">
      <c r="AB66" s="2"/>
    </row>
    <row r="67" spans="28:28" ht="15" customHeight="1" x14ac:dyDescent="0.3">
      <c r="AB67" s="2"/>
    </row>
    <row r="68" spans="28:28" ht="15.75" customHeight="1" x14ac:dyDescent="0.3">
      <c r="AB68" s="2"/>
    </row>
    <row r="69" spans="28:28" x14ac:dyDescent="0.3">
      <c r="AB69" s="2"/>
    </row>
    <row r="70" spans="28:28" x14ac:dyDescent="0.3">
      <c r="AB70" s="2"/>
    </row>
    <row r="71" spans="28:28" x14ac:dyDescent="0.3">
      <c r="AB71" s="2"/>
    </row>
    <row r="72" spans="28:28" x14ac:dyDescent="0.3">
      <c r="AB72" s="2"/>
    </row>
    <row r="73" spans="28:28" x14ac:dyDescent="0.3">
      <c r="AB73" s="2"/>
    </row>
    <row r="74" spans="28:28" x14ac:dyDescent="0.3">
      <c r="AB74" s="2"/>
    </row>
    <row r="75" spans="28:28" x14ac:dyDescent="0.3">
      <c r="AB75" s="2"/>
    </row>
    <row r="76" spans="28:28" x14ac:dyDescent="0.3">
      <c r="AB76" s="2"/>
    </row>
    <row r="77" spans="28:28" x14ac:dyDescent="0.3">
      <c r="AB77" s="2"/>
    </row>
    <row r="78" spans="28:28" x14ac:dyDescent="0.3">
      <c r="AB78" s="2"/>
    </row>
    <row r="79" spans="28:28" x14ac:dyDescent="0.3">
      <c r="AB79" s="2"/>
    </row>
    <row r="80" spans="28:28" x14ac:dyDescent="0.3">
      <c r="AB80" s="2"/>
    </row>
    <row r="81" spans="28:28" x14ac:dyDescent="0.3">
      <c r="AB81" s="2"/>
    </row>
    <row r="82" spans="28:28" x14ac:dyDescent="0.3">
      <c r="AB82" s="2"/>
    </row>
    <row r="83" spans="28:28" x14ac:dyDescent="0.3">
      <c r="AB83" s="2"/>
    </row>
    <row r="84" spans="28:28" x14ac:dyDescent="0.3">
      <c r="AB84" s="2"/>
    </row>
    <row r="85" spans="28:28" x14ac:dyDescent="0.3">
      <c r="AB85" s="2"/>
    </row>
    <row r="86" spans="28:28" x14ac:dyDescent="0.3">
      <c r="AB86" s="2"/>
    </row>
  </sheetData>
  <mergeCells count="5">
    <mergeCell ref="B9:X14"/>
    <mergeCell ref="C18:O18"/>
    <mergeCell ref="P18:R18"/>
    <mergeCell ref="S18:S19"/>
    <mergeCell ref="T18:V18"/>
  </mergeCells>
  <hyperlinks>
    <hyperlink ref="P25" r:id="rId1" display="https://ember-climate.org/data/data-tools/carbon-price-viewer/"/>
    <hyperlink ref="P20" r:id="rId2" display="https://my.elexys.be/MarketInformation/IceEndexTtfGas.aspx"/>
    <hyperlink ref="P21" r:id="rId3" display="https://www.cmegroup.com/markets/energy/natural-gas/uk-nbp-natural-gas-calendar-month.html"/>
    <hyperlink ref="P22" r:id="rId4" display="https://www.cmegroup.com/markets/energy/coal/coal-api-2-cif-ara-argus-mccloskey.html"/>
    <hyperlink ref="P23" r:id="rId5" display="https://www.cmegroup.com/markets/energy/crude-oil/light-sweet-crude.html"/>
    <hyperlink ref="P24" r:id="rId6" display="https://www.theice.com/products/197/EUA-Futures/data?marketId=5474736"/>
    <hyperlink ref="R20" r:id="rId7" display="https://www.iea.org/reports/world-energy-outlook-2022"/>
    <hyperlink ref="R21" r:id="rId8" display="https://www.iea.org/reports/world-energy-outlook-2022"/>
    <hyperlink ref="R22" r:id="rId9" display="https://www.iea.org/reports/world-energy-outlook-2022"/>
    <hyperlink ref="R23" r:id="rId10" display="https://www.iea.org/reports/world-energy-outlook-2022"/>
    <hyperlink ref="R24" r:id="rId11" display="https://www.iea.org/reports/world-energy-outlook-2022"/>
    <hyperlink ref="R25" r:id="rId12" display="https://www.iea.org/reports/world-energy-outlook-2022"/>
    <hyperlink ref="Q24" r:id="rId13"/>
  </hyperlinks>
  <pageMargins left="0.7" right="0.7" top="0.75" bottom="0.75" header="0.3" footer="0.3"/>
  <pageSetup paperSize="9" orientation="portrait" r:id="rId14"/>
  <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SharedWithUsers xmlns="bdad81d2-b2b2-4129-8554-5f15467f77bb">
      <UserInfo>
        <DisplayName>Duquesne Alexandre</DisplayName>
        <AccountId>334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B4B5539F087704AACBC5B9EFDC8BCAE" ma:contentTypeVersion="6" ma:contentTypeDescription="Create a new document." ma:contentTypeScope="" ma:versionID="bcce9779f3bcfaaa483b4500069713d3">
  <xsd:schema xmlns:xsd="http://www.w3.org/2001/XMLSchema" xmlns:xs="http://www.w3.org/2001/XMLSchema" xmlns:p="http://schemas.microsoft.com/office/2006/metadata/properties" xmlns:ns2="ede085e4-08e8-4560-a51c-5af5ed92e6ac" xmlns:ns3="bdad81d2-b2b2-4129-8554-5f15467f77bb" targetNamespace="http://schemas.microsoft.com/office/2006/metadata/properties" ma:root="true" ma:fieldsID="64d43668fbe620921856634782ddfef4" ns2:_="" ns3:_="">
    <xsd:import namespace="ede085e4-08e8-4560-a51c-5af5ed92e6ac"/>
    <xsd:import namespace="bdad81d2-b2b2-4129-8554-5f15467f77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85e4-08e8-4560-a51c-5af5ed92e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ad81d2-b2b2-4129-8554-5f15467f77b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BCEFAA-4622-4712-B98D-AEAD380B65B1}">
  <ds:schemaRefs>
    <ds:schemaRef ds:uri="http://schemas.microsoft.com/PowerBIAddIn"/>
  </ds:schemaRefs>
</ds:datastoreItem>
</file>

<file path=customXml/itemProps2.xml><?xml version="1.0" encoding="utf-8"?>
<ds:datastoreItem xmlns:ds="http://schemas.openxmlformats.org/officeDocument/2006/customXml" ds:itemID="{9B32291E-4473-4746-92B7-DFBEBFF72701}">
  <ds:schemaRefs>
    <ds:schemaRef ds:uri="http://purl.org/dc/elements/1.1/"/>
    <ds:schemaRef ds:uri="http://schemas.microsoft.com/office/2006/metadata/properties"/>
    <ds:schemaRef ds:uri="http://purl.org/dc/terms/"/>
    <ds:schemaRef ds:uri="bdad81d2-b2b2-4129-8554-5f15467f77bb"/>
    <ds:schemaRef ds:uri="http://schemas.microsoft.com/office/2006/documentManagement/types"/>
    <ds:schemaRef ds:uri="http://schemas.microsoft.com/office/infopath/2007/PartnerControls"/>
    <ds:schemaRef ds:uri="http://schemas.openxmlformats.org/package/2006/metadata/core-properties"/>
    <ds:schemaRef ds:uri="ede085e4-08e8-4560-a51c-5af5ed92e6ac"/>
    <ds:schemaRef ds:uri="http://www.w3.org/XML/1998/namespace"/>
    <ds:schemaRef ds:uri="http://purl.org/dc/dcmitype/"/>
  </ds:schemaRefs>
</ds:datastoreItem>
</file>

<file path=customXml/itemProps3.xml><?xml version="1.0" encoding="utf-8"?>
<ds:datastoreItem xmlns:ds="http://schemas.openxmlformats.org/officeDocument/2006/customXml" ds:itemID="{0AB4846D-6CEF-4C97-B373-1FADBE267561}">
  <ds:schemaRefs>
    <ds:schemaRef ds:uri="http://schemas.microsoft.com/sharepoint/v3/contenttype/forms"/>
  </ds:schemaRefs>
</ds:datastoreItem>
</file>

<file path=customXml/itemProps4.xml><?xml version="1.0" encoding="utf-8"?>
<ds:datastoreItem xmlns:ds="http://schemas.openxmlformats.org/officeDocument/2006/customXml" ds:itemID="{A889D2BC-A393-4DB7-9269-7AEC8C5119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85e4-08e8-4560-a51c-5af5ed92e6ac"/>
    <ds:schemaRef ds:uri="bdad81d2-b2b2-4129-8554-5f15467f77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1.1. Ind. mod. thermal prod. </vt:lpstr>
      <vt:lpstr>1.2. Renewable and non-CIPU</vt:lpstr>
      <vt:lpstr>2.1. Tot. elec. demand</vt:lpstr>
      <vt:lpstr>3.1 Storage</vt:lpstr>
      <vt:lpstr>3.2. DSR industry</vt:lpstr>
      <vt:lpstr>3.3. DSR end-user</vt:lpstr>
      <vt:lpstr>3.4. Electrolysers</vt:lpstr>
      <vt:lpstr>4.1. Fuel and CO2 prices</vt:lpstr>
      <vt:lpstr>4.2. Investment costs</vt:lpstr>
      <vt:lpstr>4.3. Outages</vt:lpstr>
      <vt:lpstr>4.4. Flex. charact.</vt:lpstr>
      <vt:lpstr>5.1. Flow based domains</vt:lpstr>
      <vt:lpstr>6.1. Data for other countries</vt:lpstr>
      <vt:lpstr>7.1. LCT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2017-08-21T12:48:16Z</dcterms:created>
  <dcterms:modified xsi:type="dcterms:W3CDTF">2022-10-28T11:49:55Z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0x0101005B4B5539F087704AACBC5B9EFDC8BCAE</vt:lpwstr>
  </property>
</Properties>
</file>